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05" windowWidth="10500" windowHeight="6270" firstSheet="1" activeTab="1"/>
  </bookViews>
  <sheets>
    <sheet name="Poruba-zákl. finanční ukazatelé" sheetId="6" r:id="rId1"/>
    <sheet name="BRZDA" sheetId="7" r:id="rId2"/>
    <sheet name="List2" sheetId="8" r:id="rId3"/>
  </sheets>
  <calcPr calcId="145621"/>
</workbook>
</file>

<file path=xl/calcChain.xml><?xml version="1.0" encoding="utf-8"?>
<calcChain xmlns="http://schemas.openxmlformats.org/spreadsheetml/2006/main">
  <c r="D28" i="7" l="1"/>
  <c r="B13" i="8" l="1"/>
  <c r="C13" i="8"/>
  <c r="D13" i="8"/>
  <c r="E13" i="8"/>
  <c r="F13" i="8"/>
  <c r="B17" i="8"/>
  <c r="B14" i="8"/>
  <c r="C17" i="8"/>
  <c r="C14" i="8"/>
  <c r="D17" i="8"/>
  <c r="D14" i="8"/>
  <c r="E17" i="8"/>
  <c r="E14" i="8"/>
  <c r="F17" i="8"/>
  <c r="F14" i="8"/>
  <c r="E29" i="7" l="1"/>
  <c r="D29" i="7"/>
  <c r="F9" i="8"/>
  <c r="F12" i="8"/>
  <c r="E12" i="8"/>
  <c r="E9" i="8"/>
  <c r="D9" i="8"/>
  <c r="D12" i="8"/>
  <c r="C12" i="8"/>
  <c r="C9" i="8"/>
  <c r="B12" i="8"/>
  <c r="B9" i="8"/>
  <c r="E28" i="7" l="1"/>
  <c r="C16" i="7"/>
  <c r="C17" i="7" s="1"/>
  <c r="C28" i="7"/>
  <c r="C30" i="7" s="1"/>
  <c r="C23" i="7"/>
  <c r="C20" i="7"/>
  <c r="E30" i="7" l="1"/>
  <c r="D30" i="7"/>
  <c r="B30" i="6" l="1"/>
  <c r="C24" i="6"/>
  <c r="B24" i="6"/>
  <c r="C20" i="6"/>
  <c r="E12" i="6" l="1"/>
  <c r="F10" i="6"/>
  <c r="F12" i="6" s="1"/>
  <c r="E10" i="6"/>
  <c r="D10" i="6"/>
  <c r="D12" i="6" s="1"/>
  <c r="C10" i="6"/>
  <c r="C12" i="6" s="1"/>
  <c r="B10" i="6"/>
  <c r="B12" i="6" s="1"/>
  <c r="F8" i="6"/>
  <c r="F9" i="6" s="1"/>
  <c r="E8" i="6"/>
  <c r="E9" i="6" s="1"/>
  <c r="D8" i="6"/>
  <c r="D9" i="6" s="1"/>
  <c r="C8" i="6"/>
  <c r="C9" i="6" s="1"/>
  <c r="B8" i="6"/>
  <c r="B9" i="6" s="1"/>
</calcChain>
</file>

<file path=xl/sharedStrings.xml><?xml version="1.0" encoding="utf-8"?>
<sst xmlns="http://schemas.openxmlformats.org/spreadsheetml/2006/main" count="89" uniqueCount="73">
  <si>
    <t>Aktiva celkem brutto</t>
  </si>
  <si>
    <t>Cizí zdroje</t>
  </si>
  <si>
    <t>Podíl cizích zdrojů k celkovým aktivům v %</t>
  </si>
  <si>
    <t>Oběžná aktiva netto</t>
  </si>
  <si>
    <t>Krátkodobé závazky</t>
  </si>
  <si>
    <t>Celková likvidita</t>
  </si>
  <si>
    <t>ukazatele</t>
  </si>
  <si>
    <t>v tis. Kč</t>
  </si>
  <si>
    <t>Poznámka:</t>
  </si>
  <si>
    <t>dluh celkem</t>
  </si>
  <si>
    <t>Daňové příjmy</t>
  </si>
  <si>
    <t>Nedaňové příjmy</t>
  </si>
  <si>
    <t>Kapitálové příjmy</t>
  </si>
  <si>
    <t>Přijaté transfery celkem</t>
  </si>
  <si>
    <t>Příjmy celkem po konsolidaci</t>
  </si>
  <si>
    <t>Běžné výdaje</t>
  </si>
  <si>
    <t>Kapitálové výdaje</t>
  </si>
  <si>
    <t>Výdaje celkem po konsolidaci</t>
  </si>
  <si>
    <t>Volné prostředky k použití</t>
  </si>
  <si>
    <t>Městský obvod Poruba - základní ukazatelé hospodaření v letech 2014 - 2018</t>
  </si>
  <si>
    <t xml:space="preserve"> skutečnost k 31.12.</t>
  </si>
  <si>
    <t>*</t>
  </si>
  <si>
    <t>neinvestiční dotace neúčelová</t>
  </si>
  <si>
    <t>neinvestiční dotace účelová</t>
  </si>
  <si>
    <t>investiční dotace neúčelová</t>
  </si>
  <si>
    <t>investiční dotace neúčelová převod</t>
  </si>
  <si>
    <t xml:space="preserve">investiční dotace účelová </t>
  </si>
  <si>
    <t>skutečnost příjmů v roce 2018</t>
  </si>
  <si>
    <t>celkem</t>
  </si>
  <si>
    <t>příjmy Mob Poruba v roce 2019</t>
  </si>
  <si>
    <t>poskytnuté dotace z rozpočtu města (SR)</t>
  </si>
  <si>
    <t>Mob Poruba z rozpočtu města v roce 2019 dle schváleného rozpočtu dle tabulky:</t>
  </si>
  <si>
    <t>snížení o prostředky dotací z rozp. města 2018</t>
  </si>
  <si>
    <t>navýšení o prostředky dotací z rozp. města 2019</t>
  </si>
  <si>
    <t>* vycházíme ze skutečnosti příjmů po konsolidaci za rok 2018 a zohledňujeme k tomu inv. a neinv. dotace, poskytnuté</t>
  </si>
  <si>
    <t>výpočet příjmů Mob Poruba v roce 2019:</t>
  </si>
  <si>
    <t>průměr příjmů za roky 2016 - 2019</t>
  </si>
  <si>
    <t>Monitorující ukazatele k 31.12.2019</t>
  </si>
  <si>
    <t>příjmy 2016</t>
  </si>
  <si>
    <t>příjmy 2017</t>
  </si>
  <si>
    <t>příjmy 2018</t>
  </si>
  <si>
    <t>příjmy 2019</t>
  </si>
  <si>
    <t>výše v tis. Kč</t>
  </si>
  <si>
    <t>Podíl dluhu k průměru příjmů v %</t>
  </si>
  <si>
    <t>k 31.12.2019</t>
  </si>
  <si>
    <t>dle pravidla rozpočtové odpovědnosti platí, že podíl dluhu k průměru příjmů za poslední 4 roky by neměl překročit 60 %, což SMO s 18,21 % splňuje</t>
  </si>
  <si>
    <t>úroky</t>
  </si>
  <si>
    <t>uhrazené splátky dluhopisů a půjčených prostředků</t>
  </si>
  <si>
    <t>dluhová služba celkem</t>
  </si>
  <si>
    <t>Ukazatel dluhové služby v %</t>
  </si>
  <si>
    <t xml:space="preserve">příjem celkem po konsolidaci </t>
  </si>
  <si>
    <t>k 31.12.2020</t>
  </si>
  <si>
    <t>(přijetí úvěru ve výši 0,57 mld. Kč) *</t>
  </si>
  <si>
    <t>(přijetí úvěru ve výši 1,8 mld. Kč) **</t>
  </si>
  <si>
    <t>Základní finanční ukazatelé SMO</t>
  </si>
  <si>
    <t>** Při přijetí úvěru v roce 2020 v jeho maximální výši 1,8 mld.Kč se zvýší podíl dluhu k průměru příjmů na 30,98 % (zahrnuli jsme do výpočtu ukazatele průměr příjmů příjmy za roky 2016 - 2019 zvýšené</t>
  </si>
  <si>
    <t>* Při přijetí úvěru v roce 2020 ve výši 0,57 mld.Kč se zvýší podíl dluhu k průměru příjmů nepatrně na 20,48 % (zahrnuli jsme do výpočtu ukazatele průměr příjmů příjmy za roky 2016 - 2019 zvýšené o přijatý</t>
  </si>
  <si>
    <t>podíl cizích zdrojů k celkovým aktivům je nižší než 25 % a zároveň ukazatel celkové likvidity není nižší než 1 naznačuje, že obec je schopna splatit své závazky</t>
  </si>
  <si>
    <t xml:space="preserve">    o přijatý úvěr 1,8 mld. Kč a dluh celkem vychází z dluhu k 31.12.2019, je snížen o splátky jistin v roce 2020 a navýšen o částku nového úvěru 1,8 mld. Kč) - katastrofický scénař při načerpání úvěru 1,8 mld. Kč</t>
  </si>
  <si>
    <t xml:space="preserve">    v roce 2020</t>
  </si>
  <si>
    <t xml:space="preserve">   úvěr 0,57 mld. Kč a dluh celkem vychází z dluhu k 31.12.2019, je snížen o splátky jistin v roce 2020 a navýšen o částku nového úvěru 0,57 mld. Kč) -  varianta při načerpání úvěru 0,57 mld. Kč v roce 2020</t>
  </si>
  <si>
    <t>Běžné příjmy</t>
  </si>
  <si>
    <t>uhrazené splátky jistin půjč. prostř.</t>
  </si>
  <si>
    <t>provozní saldo</t>
  </si>
  <si>
    <t>splátky jistin půjčených prostředků*</t>
  </si>
  <si>
    <t>* zahrnuje splátky jistin ze stávajících úvěrů  a návrhu splátek jistin nového úvěru ve výši 1,8 mld.Kč čerpaným postupně v letech 2020 - 2023</t>
  </si>
  <si>
    <t>Volné prostředky k použití (MMO)</t>
  </si>
  <si>
    <t>zatím vynechat, je potřeba zkonzultovat s Lukášem</t>
  </si>
  <si>
    <t>Ukazatel rozpočtové odpovědnosti pro město za rok 2020</t>
  </si>
  <si>
    <t>dle metodiky MF ČR - podíl dluhu max 60% příjmů za poslední 4 rozpočtované roky</t>
  </si>
  <si>
    <t>varianta I.</t>
  </si>
  <si>
    <t>varianta II.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</si>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</sst>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3" fontId="0" fillId="0" borderId="0" xfId="0" applyNumberFormat="1"/>
    <xf numFmtId="3" fontId="1" fillId="0" borderId="1" xfId="0" applyNumberFormat="1" applyFont="1" applyBorder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3" fontId="1" fillId="0" borderId="4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" fillId="0" borderId="6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1" fillId="0" borderId="10" xfId="0" applyFont="1" applyBorder="1"/>
    <xf numFmtId="3" fontId="1" fillId="0" borderId="3" xfId="0" applyNumberFormat="1" applyFont="1" applyBorder="1"/>
    <xf numFmtId="0" fontId="1" fillId="4" borderId="10" xfId="0" applyFont="1" applyFill="1" applyBorder="1"/>
    <xf numFmtId="3" fontId="1" fillId="4" borderId="3" xfId="0" applyNumberFormat="1" applyFont="1" applyFill="1" applyBorder="1"/>
    <xf numFmtId="3" fontId="1" fillId="4" borderId="1" xfId="0" applyNumberFormat="1" applyFont="1" applyFill="1" applyBorder="1"/>
    <xf numFmtId="3" fontId="1" fillId="4" borderId="4" xfId="0" applyNumberFormat="1" applyFont="1" applyFill="1" applyBorder="1"/>
    <xf numFmtId="0" fontId="2" fillId="5" borderId="10" xfId="0" applyFont="1" applyFill="1" applyBorder="1"/>
    <xf numFmtId="3" fontId="2" fillId="5" borderId="3" xfId="0" applyNumberFormat="1" applyFont="1" applyFill="1" applyBorder="1"/>
    <xf numFmtId="3" fontId="2" fillId="5" borderId="1" xfId="0" applyNumberFormat="1" applyFont="1" applyFill="1" applyBorder="1"/>
    <xf numFmtId="3" fontId="2" fillId="5" borderId="4" xfId="0" applyNumberFormat="1" applyFont="1" applyFill="1" applyBorder="1"/>
    <xf numFmtId="0" fontId="2" fillId="5" borderId="11" xfId="0" applyFont="1" applyFill="1" applyBorder="1"/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5" xfId="0" applyFont="1" applyFill="1" applyBorder="1"/>
    <xf numFmtId="3" fontId="2" fillId="5" borderId="16" xfId="0" applyNumberFormat="1" applyFont="1" applyFill="1" applyBorder="1"/>
    <xf numFmtId="3" fontId="2" fillId="5" borderId="17" xfId="0" applyNumberFormat="1" applyFont="1" applyFill="1" applyBorder="1"/>
    <xf numFmtId="3" fontId="2" fillId="5" borderId="18" xfId="0" applyNumberFormat="1" applyFont="1" applyFill="1" applyBorder="1"/>
    <xf numFmtId="0" fontId="1" fillId="5" borderId="25" xfId="0" applyFont="1" applyFill="1" applyBorder="1"/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5" borderId="25" xfId="0" applyFont="1" applyFill="1" applyBorder="1" applyAlignment="1">
      <alignment horizontal="center" vertical="center"/>
    </xf>
    <xf numFmtId="3" fontId="1" fillId="0" borderId="6" xfId="0" applyNumberFormat="1" applyFont="1" applyBorder="1"/>
    <xf numFmtId="3" fontId="1" fillId="0" borderId="10" xfId="0" applyNumberFormat="1" applyFont="1" applyBorder="1"/>
    <xf numFmtId="3" fontId="1" fillId="4" borderId="10" xfId="0" applyNumberFormat="1" applyFont="1" applyFill="1" applyBorder="1"/>
    <xf numFmtId="3" fontId="2" fillId="3" borderId="29" xfId="0" applyNumberFormat="1" applyFont="1" applyFill="1" applyBorder="1"/>
    <xf numFmtId="0" fontId="2" fillId="0" borderId="17" xfId="0" applyFont="1" applyBorder="1"/>
    <xf numFmtId="0" fontId="2" fillId="0" borderId="20" xfId="0" applyFont="1" applyBorder="1"/>
    <xf numFmtId="0" fontId="2" fillId="0" borderId="16" xfId="0" applyFont="1" applyBorder="1"/>
    <xf numFmtId="3" fontId="1" fillId="0" borderId="13" xfId="0" applyNumberFormat="1" applyFont="1" applyBorder="1"/>
    <xf numFmtId="3" fontId="2" fillId="0" borderId="17" xfId="0" applyNumberFormat="1" applyFont="1" applyBorder="1"/>
    <xf numFmtId="3" fontId="2" fillId="0" borderId="20" xfId="0" applyNumberFormat="1" applyFont="1" applyBorder="1"/>
    <xf numFmtId="0" fontId="2" fillId="3" borderId="0" xfId="0" applyFont="1" applyFill="1"/>
    <xf numFmtId="3" fontId="2" fillId="3" borderId="0" xfId="0" applyNumberFormat="1" applyFont="1" applyFill="1"/>
    <xf numFmtId="0" fontId="1" fillId="5" borderId="0" xfId="0" applyFont="1" applyFill="1" applyBorder="1"/>
    <xf numFmtId="0" fontId="10" fillId="5" borderId="0" xfId="0" applyFont="1" applyFill="1" applyBorder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1" fillId="0" borderId="7" xfId="0" applyFont="1" applyBorder="1"/>
    <xf numFmtId="3" fontId="0" fillId="0" borderId="23" xfId="0" applyNumberFormat="1" applyBorder="1"/>
    <xf numFmtId="0" fontId="1" fillId="0" borderId="3" xfId="0" applyFont="1" applyBorder="1"/>
    <xf numFmtId="3" fontId="0" fillId="0" borderId="22" xfId="0" applyNumberFormat="1" applyBorder="1"/>
    <xf numFmtId="0" fontId="0" fillId="0" borderId="3" xfId="0" applyBorder="1"/>
    <xf numFmtId="3" fontId="1" fillId="0" borderId="22" xfId="0" applyNumberFormat="1" applyFont="1" applyBorder="1"/>
    <xf numFmtId="0" fontId="1" fillId="0" borderId="12" xfId="0" applyFont="1" applyBorder="1"/>
    <xf numFmtId="3" fontId="1" fillId="0" borderId="24" xfId="0" applyNumberFormat="1" applyFont="1" applyBorder="1"/>
    <xf numFmtId="3" fontId="1" fillId="0" borderId="31" xfId="0" applyNumberFormat="1" applyFont="1" applyBorder="1"/>
    <xf numFmtId="0" fontId="1" fillId="0" borderId="30" xfId="0" applyFont="1" applyBorder="1"/>
    <xf numFmtId="0" fontId="2" fillId="2" borderId="3" xfId="0" applyFont="1" applyFill="1" applyBorder="1"/>
    <xf numFmtId="0" fontId="2" fillId="2" borderId="30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0" borderId="19" xfId="0" applyFont="1" applyBorder="1" applyAlignment="1">
      <alignment horizontal="right"/>
    </xf>
    <xf numFmtId="3" fontId="1" fillId="0" borderId="32" xfId="0" applyNumberFormat="1" applyFont="1" applyBorder="1"/>
    <xf numFmtId="3" fontId="2" fillId="2" borderId="32" xfId="0" applyNumberFormat="1" applyFont="1" applyFill="1" applyBorder="1"/>
    <xf numFmtId="3" fontId="1" fillId="0" borderId="33" xfId="0" applyNumberFormat="1" applyFont="1" applyBorder="1"/>
    <xf numFmtId="4" fontId="2" fillId="2" borderId="33" xfId="0" applyNumberFormat="1" applyFont="1" applyFill="1" applyBorder="1"/>
    <xf numFmtId="4" fontId="2" fillId="2" borderId="34" xfId="0" applyNumberFormat="1" applyFont="1" applyFill="1" applyBorder="1"/>
    <xf numFmtId="3" fontId="1" fillId="0" borderId="35" xfId="0" applyNumberFormat="1" applyFont="1" applyFill="1" applyBorder="1"/>
    <xf numFmtId="4" fontId="2" fillId="2" borderId="36" xfId="0" applyNumberFormat="1" applyFont="1" applyFill="1" applyBorder="1"/>
    <xf numFmtId="3" fontId="2" fillId="0" borderId="28" xfId="0" applyNumberFormat="1" applyFont="1" applyBorder="1" applyAlignment="1">
      <alignment horizontal="right"/>
    </xf>
    <xf numFmtId="2" fontId="2" fillId="3" borderId="37" xfId="0" applyNumberFormat="1" applyFont="1" applyFill="1" applyBorder="1"/>
    <xf numFmtId="3" fontId="2" fillId="0" borderId="20" xfId="0" applyNumberFormat="1" applyFont="1" applyBorder="1" applyAlignment="1">
      <alignment horizontal="right"/>
    </xf>
    <xf numFmtId="0" fontId="1" fillId="0" borderId="22" xfId="0" applyFont="1" applyBorder="1"/>
    <xf numFmtId="2" fontId="2" fillId="3" borderId="38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9" xfId="0" applyFont="1" applyBorder="1"/>
    <xf numFmtId="0" fontId="2" fillId="0" borderId="40" xfId="0" applyFont="1" applyBorder="1"/>
    <xf numFmtId="0" fontId="1" fillId="0" borderId="2" xfId="0" applyFont="1" applyBorder="1"/>
    <xf numFmtId="0" fontId="2" fillId="0" borderId="30" xfId="0" applyFont="1" applyBorder="1"/>
    <xf numFmtId="0" fontId="2" fillId="0" borderId="5" xfId="0" applyFont="1" applyBorder="1"/>
    <xf numFmtId="3" fontId="1" fillId="0" borderId="41" xfId="0" applyNumberFormat="1" applyFont="1" applyBorder="1"/>
    <xf numFmtId="0" fontId="1" fillId="0" borderId="42" xfId="0" applyFont="1" applyBorder="1" applyAlignment="1">
      <alignment horizontal="centerContinuous"/>
    </xf>
    <xf numFmtId="0" fontId="1" fillId="0" borderId="43" xfId="0" applyFont="1" applyBorder="1" applyAlignment="1">
      <alignment horizontal="centerContinuous"/>
    </xf>
    <xf numFmtId="0" fontId="1" fillId="0" borderId="44" xfId="0" applyFont="1" applyBorder="1" applyAlignment="1">
      <alignment horizontal="centerContinuous"/>
    </xf>
    <xf numFmtId="0" fontId="12" fillId="2" borderId="0" xfId="0" applyFont="1" applyFill="1"/>
    <xf numFmtId="0" fontId="13" fillId="0" borderId="30" xfId="0" applyFont="1" applyFill="1" applyBorder="1"/>
    <xf numFmtId="0" fontId="13" fillId="0" borderId="40" xfId="0" applyFont="1" applyBorder="1"/>
    <xf numFmtId="3" fontId="5" fillId="0" borderId="46" xfId="0" applyNumberFormat="1" applyFont="1" applyBorder="1"/>
    <xf numFmtId="3" fontId="5" fillId="0" borderId="31" xfId="0" applyNumberFormat="1" applyFont="1" applyBorder="1"/>
    <xf numFmtId="0" fontId="13" fillId="0" borderId="2" xfId="0" applyFont="1" applyFill="1" applyBorder="1"/>
    <xf numFmtId="3" fontId="13" fillId="0" borderId="39" xfId="0" applyNumberFormat="1" applyFont="1" applyBorder="1"/>
    <xf numFmtId="0" fontId="5" fillId="0" borderId="0" xfId="0" applyFont="1" applyAlignment="1">
      <alignment horizontal="right"/>
    </xf>
    <xf numFmtId="0" fontId="13" fillId="0" borderId="0" xfId="0" applyFont="1" applyFill="1" applyBorder="1"/>
    <xf numFmtId="3" fontId="5" fillId="0" borderId="45" xfId="0" applyNumberFormat="1" applyFont="1" applyBorder="1"/>
    <xf numFmtId="3" fontId="5" fillId="0" borderId="48" xfId="0" applyNumberFormat="1" applyFont="1" applyBorder="1"/>
    <xf numFmtId="3" fontId="5" fillId="0" borderId="0" xfId="0" applyNumberFormat="1" applyFont="1" applyBorder="1"/>
    <xf numFmtId="3" fontId="5" fillId="0" borderId="49" xfId="0" applyNumberFormat="1" applyFont="1" applyBorder="1"/>
    <xf numFmtId="3" fontId="13" fillId="0" borderId="50" xfId="0" applyNumberFormat="1" applyFont="1" applyBorder="1"/>
    <xf numFmtId="3" fontId="13" fillId="0" borderId="47" xfId="0" applyNumberFormat="1" applyFont="1" applyBorder="1"/>
    <xf numFmtId="0" fontId="14" fillId="0" borderId="2" xfId="0" applyFont="1" applyBorder="1"/>
    <xf numFmtId="3" fontId="15" fillId="0" borderId="5" xfId="0" applyNumberFormat="1" applyFont="1" applyBorder="1"/>
    <xf numFmtId="3" fontId="15" fillId="0" borderId="39" xfId="0" applyNumberFormat="1" applyFont="1" applyBorder="1"/>
    <xf numFmtId="0" fontId="16" fillId="0" borderId="0" xfId="0" applyFont="1"/>
    <xf numFmtId="0" fontId="3" fillId="4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/>
    </xf>
    <xf numFmtId="0" fontId="6" fillId="4" borderId="28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20" sqref="I20"/>
    </sheetView>
  </sheetViews>
  <sheetFormatPr defaultRowHeight="15" x14ac:dyDescent="0.25"/>
  <cols>
    <col min="1" max="1" width="41.140625" customWidth="1"/>
  </cols>
  <sheetData>
    <row r="1" spans="1:8" ht="15.75" x14ac:dyDescent="0.25">
      <c r="A1" s="7" t="s">
        <v>19</v>
      </c>
      <c r="B1" s="8"/>
      <c r="C1" s="8"/>
      <c r="D1" s="8"/>
      <c r="E1" s="8"/>
      <c r="F1" s="8"/>
    </row>
    <row r="2" spans="1:8" ht="19.5" thickBot="1" x14ac:dyDescent="0.35">
      <c r="A2" s="9"/>
      <c r="B2" s="10"/>
      <c r="C2" s="10"/>
      <c r="D2" s="10"/>
      <c r="E2" s="10"/>
      <c r="G2" s="11" t="s">
        <v>7</v>
      </c>
    </row>
    <row r="3" spans="1:8" ht="16.5" thickBot="1" x14ac:dyDescent="0.3">
      <c r="A3" s="38" t="s">
        <v>6</v>
      </c>
      <c r="B3" s="120" t="s">
        <v>20</v>
      </c>
      <c r="C3" s="121"/>
      <c r="D3" s="121"/>
      <c r="E3" s="121"/>
      <c r="F3" s="122"/>
      <c r="G3" s="39"/>
    </row>
    <row r="4" spans="1:8" thickBot="1" x14ac:dyDescent="0.35">
      <c r="A4" s="34"/>
      <c r="B4" s="35">
        <v>2014</v>
      </c>
      <c r="C4" s="36">
        <v>2015</v>
      </c>
      <c r="D4" s="36">
        <v>2016</v>
      </c>
      <c r="E4" s="36">
        <v>2017</v>
      </c>
      <c r="F4" s="37">
        <v>2018</v>
      </c>
      <c r="G4" s="43">
        <v>2019</v>
      </c>
    </row>
    <row r="5" spans="1:8" ht="15.75" thickTop="1" x14ac:dyDescent="0.25">
      <c r="A5" s="12" t="s">
        <v>10</v>
      </c>
      <c r="B5" s="13">
        <v>35131</v>
      </c>
      <c r="C5" s="14">
        <v>36666</v>
      </c>
      <c r="D5" s="14">
        <v>36803</v>
      </c>
      <c r="E5" s="14">
        <v>36576</v>
      </c>
      <c r="F5" s="15">
        <v>37208</v>
      </c>
      <c r="G5" s="44"/>
    </row>
    <row r="6" spans="1:8" x14ac:dyDescent="0.25">
      <c r="A6" s="16" t="s">
        <v>11</v>
      </c>
      <c r="B6" s="17">
        <v>82240</v>
      </c>
      <c r="C6" s="2">
        <v>77688</v>
      </c>
      <c r="D6" s="2">
        <v>81257</v>
      </c>
      <c r="E6" s="2">
        <v>80488</v>
      </c>
      <c r="F6" s="6">
        <v>85608</v>
      </c>
      <c r="G6" s="45"/>
    </row>
    <row r="7" spans="1:8" x14ac:dyDescent="0.25">
      <c r="A7" s="16" t="s">
        <v>12</v>
      </c>
      <c r="B7" s="17">
        <v>18493</v>
      </c>
      <c r="C7" s="2">
        <v>5669</v>
      </c>
      <c r="D7" s="2">
        <v>4678</v>
      </c>
      <c r="E7" s="2">
        <v>22211</v>
      </c>
      <c r="F7" s="6">
        <v>2280</v>
      </c>
      <c r="G7" s="45"/>
    </row>
    <row r="8" spans="1:8" x14ac:dyDescent="0.25">
      <c r="A8" s="18" t="s">
        <v>13</v>
      </c>
      <c r="B8" s="19">
        <f>381562-103903</f>
        <v>277659</v>
      </c>
      <c r="C8" s="20">
        <f>409883-120245</f>
        <v>289638</v>
      </c>
      <c r="D8" s="20">
        <f>386800-120696</f>
        <v>266104</v>
      </c>
      <c r="E8" s="20">
        <f>468492-128034</f>
        <v>340458</v>
      </c>
      <c r="F8" s="21">
        <f>511323-108515</f>
        <v>402808</v>
      </c>
      <c r="G8" s="46"/>
    </row>
    <row r="9" spans="1:8" ht="15.75" thickBot="1" x14ac:dyDescent="0.3">
      <c r="A9" s="22" t="s">
        <v>14</v>
      </c>
      <c r="B9" s="23">
        <f>B5+B6+B7+B8</f>
        <v>413523</v>
      </c>
      <c r="C9" s="24">
        <f>C5+C6+C7+C8</f>
        <v>409661</v>
      </c>
      <c r="D9" s="24">
        <f>SUM(D5:D8)</f>
        <v>388842</v>
      </c>
      <c r="E9" s="24">
        <f>SUM(E5:E8)</f>
        <v>479733</v>
      </c>
      <c r="F9" s="25">
        <f>SUM(F5:F8)</f>
        <v>527904</v>
      </c>
      <c r="G9" s="47">
        <v>559536</v>
      </c>
      <c r="H9" t="s">
        <v>21</v>
      </c>
    </row>
    <row r="10" spans="1:8" x14ac:dyDescent="0.25">
      <c r="A10" s="16" t="s">
        <v>15</v>
      </c>
      <c r="B10" s="17">
        <f>449166-103903</f>
        <v>345263</v>
      </c>
      <c r="C10" s="2">
        <f>459366-120245</f>
        <v>339121</v>
      </c>
      <c r="D10" s="2">
        <f>341055</f>
        <v>341055</v>
      </c>
      <c r="E10" s="2">
        <f>516539-128034</f>
        <v>388505</v>
      </c>
      <c r="F10" s="6">
        <f>578888-108515</f>
        <v>470373</v>
      </c>
    </row>
    <row r="11" spans="1:8" x14ac:dyDescent="0.25">
      <c r="A11" s="16" t="s">
        <v>16</v>
      </c>
      <c r="B11" s="17">
        <v>139557</v>
      </c>
      <c r="C11" s="2">
        <v>73393</v>
      </c>
      <c r="D11" s="2">
        <v>31315</v>
      </c>
      <c r="E11" s="2">
        <v>76497</v>
      </c>
      <c r="F11" s="6">
        <v>115105</v>
      </c>
    </row>
    <row r="12" spans="1:8" ht="15.75" thickBot="1" x14ac:dyDescent="0.3">
      <c r="A12" s="26" t="s">
        <v>17</v>
      </c>
      <c r="B12" s="27">
        <f>B10+B11</f>
        <v>484820</v>
      </c>
      <c r="C12" s="28">
        <f>SUM(C10:C11)</f>
        <v>412514</v>
      </c>
      <c r="D12" s="28">
        <f>SUM(D10:D11)</f>
        <v>372370</v>
      </c>
      <c r="E12" s="28">
        <f>SUM(E10:E11)</f>
        <v>465002</v>
      </c>
      <c r="F12" s="29">
        <f>SUM(F10:F11)</f>
        <v>585478</v>
      </c>
    </row>
    <row r="13" spans="1:8" ht="15.75" thickBot="1" x14ac:dyDescent="0.3">
      <c r="A13" s="30" t="s">
        <v>18</v>
      </c>
      <c r="B13" s="31">
        <v>57353</v>
      </c>
      <c r="C13" s="32">
        <v>30184</v>
      </c>
      <c r="D13" s="32">
        <v>96504</v>
      </c>
      <c r="E13" s="32">
        <v>65933</v>
      </c>
      <c r="F13" s="33">
        <v>50194</v>
      </c>
    </row>
    <row r="14" spans="1:8" ht="14.45" x14ac:dyDescent="0.3">
      <c r="A14" s="58"/>
      <c r="B14" s="59"/>
      <c r="C14" s="59"/>
      <c r="D14" s="59"/>
      <c r="E14" s="59"/>
      <c r="F14" s="59"/>
    </row>
    <row r="15" spans="1:8" x14ac:dyDescent="0.25">
      <c r="A15" s="57" t="s">
        <v>34</v>
      </c>
    </row>
    <row r="16" spans="1:8" x14ac:dyDescent="0.25">
      <c r="A16" s="57" t="s">
        <v>31</v>
      </c>
    </row>
    <row r="17" spans="1:6" thickBot="1" x14ac:dyDescent="0.35">
      <c r="A17" s="56"/>
    </row>
    <row r="18" spans="1:6" ht="15.75" thickBot="1" x14ac:dyDescent="0.3">
      <c r="A18" s="50" t="s">
        <v>30</v>
      </c>
      <c r="B18" s="48">
        <v>2018</v>
      </c>
      <c r="C18" s="49">
        <v>2019</v>
      </c>
    </row>
    <row r="19" spans="1:6" x14ac:dyDescent="0.25">
      <c r="A19" s="60" t="s">
        <v>22</v>
      </c>
      <c r="B19" s="14">
        <v>231561</v>
      </c>
      <c r="C19" s="61">
        <v>243735</v>
      </c>
      <c r="F19" s="1"/>
    </row>
    <row r="20" spans="1:6" x14ac:dyDescent="0.25">
      <c r="A20" s="62" t="s">
        <v>23</v>
      </c>
      <c r="B20" s="2">
        <v>1862</v>
      </c>
      <c r="C20" s="63">
        <f>1735+721</f>
        <v>2456</v>
      </c>
    </row>
    <row r="21" spans="1:6" x14ac:dyDescent="0.25">
      <c r="A21" s="64" t="s">
        <v>24</v>
      </c>
      <c r="B21" s="2">
        <v>35085</v>
      </c>
      <c r="C21" s="63">
        <v>37449</v>
      </c>
    </row>
    <row r="22" spans="1:6" x14ac:dyDescent="0.25">
      <c r="A22" s="62" t="s">
        <v>25</v>
      </c>
      <c r="B22" s="2">
        <v>1000</v>
      </c>
      <c r="C22" s="65">
        <v>1000</v>
      </c>
    </row>
    <row r="23" spans="1:6" ht="15.75" thickBot="1" x14ac:dyDescent="0.3">
      <c r="A23" s="66" t="s">
        <v>26</v>
      </c>
      <c r="B23" s="51"/>
      <c r="C23" s="67">
        <v>16500</v>
      </c>
    </row>
    <row r="24" spans="1:6" thickBot="1" x14ac:dyDescent="0.35">
      <c r="A24" s="50" t="s">
        <v>28</v>
      </c>
      <c r="B24" s="52">
        <f>SUM(B19:B23)</f>
        <v>269508</v>
      </c>
      <c r="C24" s="53">
        <f>SUM(C19:C23)</f>
        <v>301140</v>
      </c>
    </row>
    <row r="26" spans="1:6" x14ac:dyDescent="0.25">
      <c r="A26" s="41" t="s">
        <v>35</v>
      </c>
      <c r="B26" s="40"/>
    </row>
    <row r="27" spans="1:6" x14ac:dyDescent="0.25">
      <c r="A27" s="40" t="s">
        <v>27</v>
      </c>
      <c r="B27" s="42">
        <v>527904</v>
      </c>
    </row>
    <row r="28" spans="1:6" x14ac:dyDescent="0.25">
      <c r="A28" s="40" t="s">
        <v>32</v>
      </c>
      <c r="B28" s="42">
        <v>-269508</v>
      </c>
    </row>
    <row r="29" spans="1:6" x14ac:dyDescent="0.25">
      <c r="A29" s="40" t="s">
        <v>33</v>
      </c>
      <c r="B29" s="42">
        <v>301140</v>
      </c>
    </row>
    <row r="30" spans="1:6" x14ac:dyDescent="0.25">
      <c r="A30" s="54" t="s">
        <v>29</v>
      </c>
      <c r="B30" s="55">
        <f>SUM(B27:B29)</f>
        <v>559536</v>
      </c>
    </row>
  </sheetData>
  <mergeCells count="1">
    <mergeCell ref="B3:F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tabSelected="1" workbookViewId="0">
      <selection activeCell="O19" sqref="O19"/>
    </sheetView>
  </sheetViews>
  <sheetFormatPr defaultRowHeight="15" x14ac:dyDescent="0.25"/>
  <cols>
    <col min="1" max="1" width="26.28515625" customWidth="1"/>
    <col min="2" max="2" width="47.5703125" customWidth="1"/>
    <col min="3" max="3" width="18.85546875" customWidth="1"/>
    <col min="4" max="4" width="16.42578125" customWidth="1"/>
    <col min="5" max="5" width="15.42578125" customWidth="1"/>
    <col min="8" max="8" width="10.7109375" bestFit="1" customWidth="1"/>
  </cols>
  <sheetData>
    <row r="2" spans="2:9" ht="15.75" x14ac:dyDescent="0.25">
      <c r="I2" s="123" t="s">
        <v>72</v>
      </c>
    </row>
    <row r="5" spans="2:9" ht="26.25" x14ac:dyDescent="0.4">
      <c r="B5" s="116" t="s">
        <v>68</v>
      </c>
    </row>
    <row r="6" spans="2:9" x14ac:dyDescent="0.25">
      <c r="B6" t="s">
        <v>69</v>
      </c>
    </row>
    <row r="8" spans="2:9" ht="15.75" x14ac:dyDescent="0.25">
      <c r="B8" s="118" t="s">
        <v>37</v>
      </c>
      <c r="D8" s="119" t="s">
        <v>70</v>
      </c>
      <c r="E8" s="119" t="s">
        <v>71</v>
      </c>
    </row>
    <row r="9" spans="2:9" x14ac:dyDescent="0.25">
      <c r="B9" s="117"/>
    </row>
    <row r="10" spans="2:9" x14ac:dyDescent="0.25">
      <c r="C10" s="87" t="s">
        <v>44</v>
      </c>
      <c r="D10" s="87" t="s">
        <v>51</v>
      </c>
      <c r="E10" s="87" t="s">
        <v>51</v>
      </c>
    </row>
    <row r="11" spans="2:9" ht="45.75" thickBot="1" x14ac:dyDescent="0.3">
      <c r="C11" s="3"/>
      <c r="D11" s="88" t="s">
        <v>52</v>
      </c>
      <c r="E11" s="88" t="s">
        <v>53</v>
      </c>
    </row>
    <row r="12" spans="2:9" ht="15.75" thickBot="1" x14ac:dyDescent="0.3">
      <c r="B12" s="50" t="s">
        <v>6</v>
      </c>
      <c r="C12" s="74" t="s">
        <v>42</v>
      </c>
      <c r="D12" s="82" t="s">
        <v>42</v>
      </c>
      <c r="E12" s="84" t="s">
        <v>42</v>
      </c>
    </row>
    <row r="13" spans="2:9" x14ac:dyDescent="0.25">
      <c r="B13" s="69" t="s">
        <v>50</v>
      </c>
      <c r="C13" s="75">
        <v>12065461</v>
      </c>
      <c r="D13" s="75"/>
      <c r="E13" s="85"/>
    </row>
    <row r="14" spans="2:9" x14ac:dyDescent="0.25">
      <c r="B14" s="60" t="s">
        <v>46</v>
      </c>
      <c r="C14" s="75">
        <v>44090</v>
      </c>
      <c r="D14" s="77"/>
      <c r="E14" s="85"/>
    </row>
    <row r="15" spans="2:9" x14ac:dyDescent="0.25">
      <c r="B15" s="60" t="s">
        <v>47</v>
      </c>
      <c r="C15" s="75">
        <v>318163</v>
      </c>
      <c r="D15" s="77"/>
      <c r="E15" s="85"/>
    </row>
    <row r="16" spans="2:9" x14ac:dyDescent="0.25">
      <c r="B16" s="60" t="s">
        <v>48</v>
      </c>
      <c r="C16" s="75">
        <f>C14+C15</f>
        <v>362253</v>
      </c>
      <c r="D16" s="77"/>
      <c r="E16" s="85"/>
    </row>
    <row r="17" spans="2:8" x14ac:dyDescent="0.25">
      <c r="B17" s="73" t="s">
        <v>49</v>
      </c>
      <c r="C17" s="76">
        <f>C16/C13*100</f>
        <v>3.002396675933062</v>
      </c>
      <c r="D17" s="77"/>
      <c r="E17" s="85"/>
    </row>
    <row r="18" spans="2:8" x14ac:dyDescent="0.25">
      <c r="B18" s="60" t="s">
        <v>0</v>
      </c>
      <c r="C18" s="75">
        <v>71364671</v>
      </c>
      <c r="D18" s="77"/>
      <c r="E18" s="85"/>
    </row>
    <row r="19" spans="2:8" x14ac:dyDescent="0.25">
      <c r="B19" s="62" t="s">
        <v>1</v>
      </c>
      <c r="C19" s="77">
        <v>5551179</v>
      </c>
      <c r="D19" s="77"/>
      <c r="E19" s="85"/>
    </row>
    <row r="20" spans="2:8" x14ac:dyDescent="0.25">
      <c r="B20" s="70" t="s">
        <v>2</v>
      </c>
      <c r="C20" s="78">
        <f>C19*100/C18</f>
        <v>7.778609390632516</v>
      </c>
      <c r="D20" s="77"/>
      <c r="E20" s="85"/>
    </row>
    <row r="21" spans="2:8" x14ac:dyDescent="0.25">
      <c r="B21" s="62" t="s">
        <v>3</v>
      </c>
      <c r="C21" s="77">
        <v>6341001</v>
      </c>
      <c r="D21" s="77"/>
      <c r="E21" s="85"/>
    </row>
    <row r="22" spans="2:8" x14ac:dyDescent="0.25">
      <c r="B22" s="62" t="s">
        <v>4</v>
      </c>
      <c r="C22" s="77">
        <v>3315471</v>
      </c>
      <c r="D22" s="77"/>
      <c r="E22" s="85"/>
    </row>
    <row r="23" spans="2:8" x14ac:dyDescent="0.25">
      <c r="B23" s="71" t="s">
        <v>5</v>
      </c>
      <c r="C23" s="79">
        <f>C21/C22</f>
        <v>1.9125490767375133</v>
      </c>
      <c r="D23" s="77"/>
      <c r="E23" s="85"/>
    </row>
    <row r="24" spans="2:8" x14ac:dyDescent="0.25">
      <c r="B24" s="62" t="s">
        <v>41</v>
      </c>
      <c r="C24" s="80">
        <v>12065461</v>
      </c>
      <c r="D24" s="77"/>
      <c r="E24" s="85"/>
      <c r="H24" s="1"/>
    </row>
    <row r="25" spans="2:8" x14ac:dyDescent="0.25">
      <c r="B25" s="62" t="s">
        <v>40</v>
      </c>
      <c r="C25" s="77">
        <v>10721109</v>
      </c>
      <c r="D25" s="77"/>
      <c r="E25" s="85"/>
    </row>
    <row r="26" spans="2:8" x14ac:dyDescent="0.25">
      <c r="B26" s="62" t="s">
        <v>39</v>
      </c>
      <c r="C26" s="77">
        <v>9910218</v>
      </c>
      <c r="D26" s="77"/>
      <c r="E26" s="85"/>
    </row>
    <row r="27" spans="2:8" x14ac:dyDescent="0.25">
      <c r="B27" s="62" t="s">
        <v>38</v>
      </c>
      <c r="C27" s="77">
        <v>9981417</v>
      </c>
      <c r="D27" s="77"/>
      <c r="E27" s="85"/>
    </row>
    <row r="28" spans="2:8" x14ac:dyDescent="0.25">
      <c r="B28" s="62" t="s">
        <v>36</v>
      </c>
      <c r="C28" s="77">
        <f>(C24+C25+C26+C27)/4</f>
        <v>10669551.25</v>
      </c>
      <c r="D28" s="77">
        <f>(C24+C25+C26+C27+570000)/4</f>
        <v>10812051.25</v>
      </c>
      <c r="E28" s="65">
        <f>(C24+C25+C26+C27+1800000)/4</f>
        <v>11119551.25</v>
      </c>
    </row>
    <row r="29" spans="2:8" x14ac:dyDescent="0.25">
      <c r="B29" s="62" t="s">
        <v>9</v>
      </c>
      <c r="C29" s="77">
        <v>1942814</v>
      </c>
      <c r="D29" s="77">
        <f>1644807+570000</f>
        <v>2214807</v>
      </c>
      <c r="E29" s="65">
        <f>1644807+1800000</f>
        <v>3444807</v>
      </c>
    </row>
    <row r="30" spans="2:8" ht="15.75" thickBot="1" x14ac:dyDescent="0.3">
      <c r="B30" s="72" t="s">
        <v>43</v>
      </c>
      <c r="C30" s="81">
        <f>C29/C28*100</f>
        <v>18.208957007446774</v>
      </c>
      <c r="D30" s="83">
        <f>D29*100/D28</f>
        <v>20.484614332548599</v>
      </c>
      <c r="E30" s="86">
        <f>E29*100/E28</f>
        <v>30.979730409534287</v>
      </c>
    </row>
    <row r="31" spans="2:8" x14ac:dyDescent="0.25">
      <c r="B31" s="5" t="s">
        <v>8</v>
      </c>
    </row>
    <row r="32" spans="2:8" x14ac:dyDescent="0.25">
      <c r="B32" s="4" t="s">
        <v>57</v>
      </c>
    </row>
    <row r="33" spans="2:3" x14ac:dyDescent="0.25">
      <c r="B33" s="4" t="s">
        <v>45</v>
      </c>
    </row>
    <row r="34" spans="2:3" x14ac:dyDescent="0.25">
      <c r="B34" s="4" t="s">
        <v>56</v>
      </c>
    </row>
    <row r="35" spans="2:3" x14ac:dyDescent="0.25">
      <c r="B35" s="5" t="s">
        <v>60</v>
      </c>
      <c r="C35" s="1"/>
    </row>
    <row r="36" spans="2:3" x14ac:dyDescent="0.25">
      <c r="B36" s="4" t="s">
        <v>55</v>
      </c>
    </row>
    <row r="37" spans="2:3" x14ac:dyDescent="0.25">
      <c r="B37" s="4" t="s">
        <v>58</v>
      </c>
    </row>
    <row r="38" spans="2:3" x14ac:dyDescent="0.25">
      <c r="B38" s="4" t="s">
        <v>59</v>
      </c>
    </row>
  </sheetData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M18" sqref="M18"/>
    </sheetView>
  </sheetViews>
  <sheetFormatPr defaultRowHeight="15" x14ac:dyDescent="0.25"/>
  <cols>
    <col min="1" max="1" width="32.28515625" customWidth="1"/>
    <col min="2" max="4" width="9.140625" bestFit="1" customWidth="1"/>
    <col min="5" max="5" width="10.28515625" customWidth="1"/>
    <col min="6" max="6" width="10.7109375" customWidth="1"/>
  </cols>
  <sheetData>
    <row r="2" spans="1:7" ht="15.75" thickBot="1" x14ac:dyDescent="0.3">
      <c r="A2" s="98" t="s">
        <v>54</v>
      </c>
      <c r="F2" s="105" t="s">
        <v>7</v>
      </c>
    </row>
    <row r="3" spans="1:7" x14ac:dyDescent="0.25">
      <c r="A3" s="90" t="s">
        <v>6</v>
      </c>
      <c r="B3" s="95" t="s">
        <v>20</v>
      </c>
      <c r="C3" s="96"/>
      <c r="D3" s="96"/>
      <c r="E3" s="96"/>
      <c r="F3" s="97"/>
    </row>
    <row r="4" spans="1:7" thickBot="1" x14ac:dyDescent="0.35">
      <c r="A4" s="91"/>
      <c r="B4" s="93">
        <v>2015</v>
      </c>
      <c r="C4" s="93">
        <v>2016</v>
      </c>
      <c r="D4" s="93">
        <v>2017</v>
      </c>
      <c r="E4" s="93">
        <v>2018</v>
      </c>
      <c r="F4" s="89">
        <v>2019</v>
      </c>
    </row>
    <row r="5" spans="1:7" x14ac:dyDescent="0.25">
      <c r="A5" s="92" t="s">
        <v>10</v>
      </c>
      <c r="B5" s="94">
        <v>6509471</v>
      </c>
      <c r="C5" s="94">
        <v>7053173</v>
      </c>
      <c r="D5" s="94">
        <v>7468893</v>
      </c>
      <c r="E5" s="94">
        <v>8106922</v>
      </c>
      <c r="F5" s="68">
        <v>8645580</v>
      </c>
    </row>
    <row r="6" spans="1:7" x14ac:dyDescent="0.25">
      <c r="A6" s="92" t="s">
        <v>11</v>
      </c>
      <c r="B6" s="94">
        <v>1277524</v>
      </c>
      <c r="C6" s="94">
        <v>1600130</v>
      </c>
      <c r="D6" s="94">
        <v>1554007</v>
      </c>
      <c r="E6" s="94">
        <v>1661808</v>
      </c>
      <c r="F6" s="68">
        <v>1762510</v>
      </c>
    </row>
    <row r="7" spans="1:7" x14ac:dyDescent="0.25">
      <c r="A7" s="92" t="s">
        <v>12</v>
      </c>
      <c r="B7" s="94">
        <v>179067</v>
      </c>
      <c r="C7" s="94">
        <v>331312</v>
      </c>
      <c r="D7" s="94">
        <v>81381</v>
      </c>
      <c r="E7" s="94">
        <v>72281</v>
      </c>
      <c r="F7" s="68">
        <v>392700</v>
      </c>
    </row>
    <row r="8" spans="1:7" x14ac:dyDescent="0.25">
      <c r="A8" s="92" t="s">
        <v>13</v>
      </c>
      <c r="B8" s="94">
        <v>1368342</v>
      </c>
      <c r="C8" s="94">
        <v>996802</v>
      </c>
      <c r="D8" s="94">
        <v>805937</v>
      </c>
      <c r="E8" s="94">
        <v>880098</v>
      </c>
      <c r="F8" s="68">
        <v>1264671</v>
      </c>
    </row>
    <row r="9" spans="1:7" x14ac:dyDescent="0.25">
      <c r="A9" s="92" t="s">
        <v>14</v>
      </c>
      <c r="B9" s="94">
        <f>SUM(B5:B8)</f>
        <v>9334404</v>
      </c>
      <c r="C9" s="94">
        <f>SUM(C5:C8)</f>
        <v>9981417</v>
      </c>
      <c r="D9" s="94">
        <f>SUM(D5:D8)</f>
        <v>9910218</v>
      </c>
      <c r="E9" s="94">
        <f>SUM(E5:E8)</f>
        <v>10721109</v>
      </c>
      <c r="F9" s="68">
        <f>SUM(F5:F8)</f>
        <v>12065461</v>
      </c>
    </row>
    <row r="10" spans="1:7" x14ac:dyDescent="0.25">
      <c r="A10" s="92" t="s">
        <v>15</v>
      </c>
      <c r="B10" s="94">
        <v>6457042</v>
      </c>
      <c r="C10" s="94">
        <v>6894470</v>
      </c>
      <c r="D10" s="94">
        <v>7584658</v>
      </c>
      <c r="E10" s="94">
        <v>8302935</v>
      </c>
      <c r="F10" s="68">
        <v>8917219</v>
      </c>
    </row>
    <row r="11" spans="1:7" x14ac:dyDescent="0.25">
      <c r="A11" s="92" t="s">
        <v>16</v>
      </c>
      <c r="B11" s="94">
        <v>2139207</v>
      </c>
      <c r="C11" s="94">
        <v>1433462</v>
      </c>
      <c r="D11" s="94">
        <v>1687921</v>
      </c>
      <c r="E11" s="94">
        <v>2301667</v>
      </c>
      <c r="F11" s="68">
        <v>2358402</v>
      </c>
    </row>
    <row r="12" spans="1:7" x14ac:dyDescent="0.25">
      <c r="A12" s="92" t="s">
        <v>17</v>
      </c>
      <c r="B12" s="94">
        <f>SUM(B10:B11)</f>
        <v>8596249</v>
      </c>
      <c r="C12" s="94">
        <f>SUM(C10:C11)</f>
        <v>8327932</v>
      </c>
      <c r="D12" s="94">
        <f>SUM(D10:D11)</f>
        <v>9272579</v>
      </c>
      <c r="E12" s="94">
        <f>SUM(E10:E11)</f>
        <v>10604602</v>
      </c>
      <c r="F12" s="68">
        <f>SUM(F10:F11)</f>
        <v>11275621</v>
      </c>
    </row>
    <row r="13" spans="1:7" ht="15.75" thickBot="1" x14ac:dyDescent="0.3">
      <c r="A13" s="113" t="s">
        <v>66</v>
      </c>
      <c r="B13" s="114">
        <f>767904+360016</f>
        <v>1127920</v>
      </c>
      <c r="C13" s="114">
        <f>1033510+199950</f>
        <v>1233460</v>
      </c>
      <c r="D13" s="114">
        <f>319177+80000+399000</f>
        <v>798177</v>
      </c>
      <c r="E13" s="114">
        <f>80000+165470+399718+350000</f>
        <v>995188</v>
      </c>
      <c r="F13" s="115">
        <f>340000+445000+400000</f>
        <v>1185000</v>
      </c>
      <c r="G13" t="s">
        <v>67</v>
      </c>
    </row>
    <row r="14" spans="1:7" x14ac:dyDescent="0.25">
      <c r="A14" s="100" t="s">
        <v>61</v>
      </c>
      <c r="B14" s="107">
        <f>772045+B5+B6</f>
        <v>8559040</v>
      </c>
      <c r="C14" s="107">
        <f>727982+C5+C6</f>
        <v>9381285</v>
      </c>
      <c r="D14" s="107">
        <f>805937+D5+D6</f>
        <v>9828837</v>
      </c>
      <c r="E14" s="108">
        <f>E5+E6+841968</f>
        <v>10610698</v>
      </c>
      <c r="F14" s="101">
        <f>8645580+1762510+997308</f>
        <v>11405398</v>
      </c>
    </row>
    <row r="15" spans="1:7" x14ac:dyDescent="0.25">
      <c r="A15" s="99" t="s">
        <v>15</v>
      </c>
      <c r="B15" s="109">
        <v>6457042</v>
      </c>
      <c r="C15" s="109">
        <v>6894470</v>
      </c>
      <c r="D15" s="109">
        <v>7584658</v>
      </c>
      <c r="E15" s="110">
        <v>8302935</v>
      </c>
      <c r="F15" s="102">
        <v>8917219</v>
      </c>
    </row>
    <row r="16" spans="1:7" x14ac:dyDescent="0.25">
      <c r="A16" s="99" t="s">
        <v>62</v>
      </c>
      <c r="B16" s="109">
        <v>932840</v>
      </c>
      <c r="C16" s="109">
        <v>720590</v>
      </c>
      <c r="D16" s="109">
        <v>930590</v>
      </c>
      <c r="E16" s="110">
        <v>635590</v>
      </c>
      <c r="F16" s="102">
        <v>318163</v>
      </c>
    </row>
    <row r="17" spans="1:6" ht="15.75" thickBot="1" x14ac:dyDescent="0.3">
      <c r="A17" s="103" t="s">
        <v>63</v>
      </c>
      <c r="B17" s="112">
        <f>B14-B15-B16</f>
        <v>1169158</v>
      </c>
      <c r="C17" s="112">
        <f>C14-C15-C16</f>
        <v>1766225</v>
      </c>
      <c r="D17" s="112">
        <f>D14-D15-D16</f>
        <v>1313589</v>
      </c>
      <c r="E17" s="111">
        <f>E14-E15-E16</f>
        <v>1672173</v>
      </c>
      <c r="F17" s="104">
        <f>F14-F15-F16</f>
        <v>2170016</v>
      </c>
    </row>
    <row r="18" spans="1:6" ht="14.45" x14ac:dyDescent="0.3">
      <c r="F18" s="42"/>
    </row>
    <row r="19" spans="1:6" ht="14.45" x14ac:dyDescent="0.3">
      <c r="A19" s="106"/>
      <c r="B19" s="42">
        <v>2020</v>
      </c>
      <c r="C19" s="42">
        <v>2021</v>
      </c>
      <c r="D19" s="42">
        <v>2022</v>
      </c>
      <c r="E19" s="42">
        <v>2023</v>
      </c>
      <c r="F19" s="42">
        <v>2024</v>
      </c>
    </row>
    <row r="20" spans="1:6" x14ac:dyDescent="0.25">
      <c r="A20" s="106" t="s">
        <v>64</v>
      </c>
      <c r="B20" s="42">
        <v>328007</v>
      </c>
      <c r="C20" s="42">
        <v>477260</v>
      </c>
      <c r="D20" s="42">
        <v>476916</v>
      </c>
      <c r="E20" s="42">
        <v>621876</v>
      </c>
      <c r="F20" s="42">
        <v>442320</v>
      </c>
    </row>
    <row r="21" spans="1:6" x14ac:dyDescent="0.25">
      <c r="A21" s="4" t="s">
        <v>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Poruba-zákl. finanční ukazatelé</vt:lpstr>
      <vt:lpstr>BRZDA</vt:lpstr>
      <vt:lpstr>List2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Valkovská Karla</dc:creator>
  <cp:lastModifiedBy>Malík Radomír</cp:lastModifiedBy>
  <cp:lastPrinted>2020-05-13T09:29:44Z</cp:lastPrinted>
  <dcterms:created xsi:type="dcterms:W3CDTF">2017-05-04T11:45:34Z</dcterms:created>
  <dcterms:modified xsi:type="dcterms:W3CDTF">2020-05-19T04:16:41Z</dcterms:modified>
</cp:coreProperties>
</file>