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7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'List1'!$2:$5</definedName>
    <definedName name="_xlnm.Print_Area" localSheetId="0">'List1'!$A$1:$F$262</definedName>
  </definedNames>
  <calcPr fullCalcOnLoad="1"/>
</workbook>
</file>

<file path=xl/sharedStrings.xml><?xml version="1.0" encoding="utf-8"?>
<sst xmlns="http://schemas.openxmlformats.org/spreadsheetml/2006/main" count="295" uniqueCount="120">
  <si>
    <t>ÚZ</t>
  </si>
  <si>
    <t>účel</t>
  </si>
  <si>
    <t>provoz bazénu</t>
  </si>
  <si>
    <t>plavecký výcvik</t>
  </si>
  <si>
    <t>údržba Ústředního hřbitova</t>
  </si>
  <si>
    <t>neúčelová dotace</t>
  </si>
  <si>
    <t>účelové dotace celkem</t>
  </si>
  <si>
    <t>Celkem účelové dotace</t>
  </si>
  <si>
    <t>Celkem neúčelové dotace</t>
  </si>
  <si>
    <t>Celkem neinvestiční dotace</t>
  </si>
  <si>
    <t>MOP</t>
  </si>
  <si>
    <t>SLO</t>
  </si>
  <si>
    <t>OJI</t>
  </si>
  <si>
    <t>POR</t>
  </si>
  <si>
    <t>NBE</t>
  </si>
  <si>
    <t>VIT</t>
  </si>
  <si>
    <t>SBE</t>
  </si>
  <si>
    <t>MHH</t>
  </si>
  <si>
    <t>PET</t>
  </si>
  <si>
    <t>LHO</t>
  </si>
  <si>
    <t>HOS</t>
  </si>
  <si>
    <t>NVE</t>
  </si>
  <si>
    <t>PRO</t>
  </si>
  <si>
    <t>MIC</t>
  </si>
  <si>
    <t>RAB</t>
  </si>
  <si>
    <t>KPO</t>
  </si>
  <si>
    <t>MAR</t>
  </si>
  <si>
    <t>POL</t>
  </si>
  <si>
    <t>HRA</t>
  </si>
  <si>
    <t>SVI</t>
  </si>
  <si>
    <t>TRE</t>
  </si>
  <si>
    <t>PLE</t>
  </si>
  <si>
    <t>PUS</t>
  </si>
  <si>
    <t>městský obvod</t>
  </si>
  <si>
    <t>součinnost v rámci monitoringu výsadeb zeleně projektů "Izolační zeleň…"</t>
  </si>
  <si>
    <t>údržba veřejného prostranství - Nová Karolina a prostoru před hl. nádražím</t>
  </si>
  <si>
    <t>kompenzace úplat za vzdělávání v mateřských školách</t>
  </si>
  <si>
    <t xml:space="preserve">projekt "Honění krále ve Lhotce" </t>
  </si>
  <si>
    <t>projekt "Koncepce bydlení a její pilotní ověření ve městě O…" - not. doložky</t>
  </si>
  <si>
    <t>projekt "MichalFest 2018"</t>
  </si>
  <si>
    <t>projekt "Májová Plesná 2018"</t>
  </si>
  <si>
    <t>souvislá údržba ul. Heřmanická - chodník</t>
  </si>
  <si>
    <t>sídelní zeleň Fryštátská</t>
  </si>
  <si>
    <t>revitalizace aleje na ul. Zborovská</t>
  </si>
  <si>
    <t>sadové úpravy na Smetanově náměstí</t>
  </si>
  <si>
    <t>projekt "Izolační zeleň"</t>
  </si>
  <si>
    <t>projekt "Přírodovědná učebna v přírodě na Srbské"</t>
  </si>
  <si>
    <t>spolufinancování ozdravných pobytů z dotačního programu MSK</t>
  </si>
  <si>
    <t>opravy MK Balbínova, Květná, točna autobusu, úprava MK Do Špice</t>
  </si>
  <si>
    <t>předfinancování a spolufin. ozdravných pobytů z dotačního programu MSK</t>
  </si>
  <si>
    <t>renovace uměleckého díla - Památník Trojice</t>
  </si>
  <si>
    <t>oprava chodníků podél MK ul. Středulinského a MK Erbenova</t>
  </si>
  <si>
    <t>oprava dešťové kanalizace a následná oprava MK Broskvoňová</t>
  </si>
  <si>
    <t>oprava ulice K Planetáriu</t>
  </si>
  <si>
    <t>revitalizace sadu kpt. Jaroše a revitalizace parku U Káňů</t>
  </si>
  <si>
    <t>projekt "Starobělská pocta Leoši Janáčkovi"</t>
  </si>
  <si>
    <t>projekt "Tisk publikace Kronika obce Stará Bělá 1918-1938"</t>
  </si>
  <si>
    <t>projekt "Publikace Vítkovice 1918-2018"</t>
  </si>
  <si>
    <t>zabezpečení prevence kriminality - projekty</t>
  </si>
  <si>
    <t>zabezpečení prevence kriminality - projekt</t>
  </si>
  <si>
    <t>projekt VKP č. 65 Alej podél ul. Bartovická</t>
  </si>
  <si>
    <t>projekt VKP č. 76 Revitalizace plochy na ul. Hvězdná - v k.ú. Radvanice</t>
  </si>
  <si>
    <t xml:space="preserve">projekt "Koncepce bydlení a její pilotní ověření ve městě Ostrava" </t>
  </si>
  <si>
    <t>proj. "Koncepce bydlení a její pilotní ověření ve městě O." - notářské doložky</t>
  </si>
  <si>
    <t>akce "Rozmarné slavnosti řeky Ostravice"</t>
  </si>
  <si>
    <t>akce Galerie Dukla</t>
  </si>
  <si>
    <t>oprava opěrné zdi pod MK Pustkovecká</t>
  </si>
  <si>
    <t>správa a údržba přednádražního prostoru</t>
  </si>
  <si>
    <t>oprava místní komunikace Na Burni</t>
  </si>
  <si>
    <t>oprava místní komunikace ul. Kořenského</t>
  </si>
  <si>
    <t>projekt "7 extenzivních trvalkových záhonů v parteru u budovy MMO"</t>
  </si>
  <si>
    <t>projekt "Gajdošova zahrada I. etapa"</t>
  </si>
  <si>
    <t>projekt "Chemická ochrana thujových porostů na Ústředním hřbitově…"</t>
  </si>
  <si>
    <t>projekt "Výsadba stromů svobody"</t>
  </si>
  <si>
    <t>projekt "Poznávací záhon užitkových a okrasných rostlin v MŠ Petřkovice"</t>
  </si>
  <si>
    <t>projekt "Sadové úpravy hráze na pozemku p.č. 168/13, k.ú. Nová Ves …"</t>
  </si>
  <si>
    <t>proj. "Revitalizace zeleně na vybraných plochách v MO - ul. E. Rošického…"</t>
  </si>
  <si>
    <t>projekt "Rozvoj rovného přístupu ke vzdělávání ve městě Ostrava"</t>
  </si>
  <si>
    <t>oprava zpevněné plochy koupaliště Radvanice - II. etapa</t>
  </si>
  <si>
    <t>PD na akci Oprava opěrných zídek a břehů Ludgeřovického potoka</t>
  </si>
  <si>
    <t>obnova a zachování kulturních památek - MŠO Blahoslavova</t>
  </si>
  <si>
    <t>obnova a zachování kultur. památek - kamenný kříž s Kristem na hřbitově</t>
  </si>
  <si>
    <t>obnova a zachování kultur. památek - kamenná socha sv. J. Nepomuckého</t>
  </si>
  <si>
    <t>projekt "Písek v centru"</t>
  </si>
  <si>
    <t>daň z hazardních her</t>
  </si>
  <si>
    <t>finanční vypořádání roku 2017</t>
  </si>
  <si>
    <t>upravený
rozpočet</t>
  </si>
  <si>
    <t>schválený
rozpočet</t>
  </si>
  <si>
    <t>v Kč</t>
  </si>
  <si>
    <t>CELKEM</t>
  </si>
  <si>
    <t>letní umělecká scéna v Porubě</t>
  </si>
  <si>
    <t xml:space="preserve">akce Den Slezské 2018  </t>
  </si>
  <si>
    <t>akce Cyklus komorních koncertů 2018</t>
  </si>
  <si>
    <t>akce Slezskoostravská  galerie</t>
  </si>
  <si>
    <t>poukázáno</t>
  </si>
  <si>
    <t>projekt "Ostravské Vánoce 2018"</t>
  </si>
  <si>
    <t>renovace uměleckých děl - soubor "Kameny" a dekor. stěna "Příroda"</t>
  </si>
  <si>
    <t>dokončení akce "Revitalizace rybníků Pod Bedřiškou"</t>
  </si>
  <si>
    <t>projekt "Zónové čištění městského obvodu MOaP v roce 2018"</t>
  </si>
  <si>
    <t>projekt "Úpravy okolí pomníku v Nové Vsi"</t>
  </si>
  <si>
    <t>oprava chodníků na ul. Bartošově k autobusovým zastávkám</t>
  </si>
  <si>
    <t>Program prevence kriminality 2018 - Bezpečnostní dobrovolník</t>
  </si>
  <si>
    <t>proj. "Ozelenění ul. Československé armády O.-Michálkovice a výsadba…"</t>
  </si>
  <si>
    <t>oprava památníku věnovaného obětem I. a II. světové války</t>
  </si>
  <si>
    <t>oprava pomníku věnovaného padlým vojínům v I. světové válce</t>
  </si>
  <si>
    <t>protipovodňová opatření - oprava opěrných zídek a břehů Ludgeř. potoka</t>
  </si>
  <si>
    <t>pořízení cykloboxů pro ZŠ</t>
  </si>
  <si>
    <t>pořízení cykloboxu pro ZŠ</t>
  </si>
  <si>
    <t>revitalizace odborné učebny fyziky a chemie</t>
  </si>
  <si>
    <t>zabezpečení prevence kriminality - vybavení půjčoven sportovních pomůcek</t>
  </si>
  <si>
    <t>proj. "Mechanizovaná výsadba cibulovin do travního drnu na Ústřed. hřbitově"</t>
  </si>
  <si>
    <t>oprava pomníku věnovaného Sokolským obětem 2. světové války</t>
  </si>
  <si>
    <t>Modernizace učeben ZŠ</t>
  </si>
  <si>
    <t>zabezpečení akceschopnosti JSDH - kategorie JPO II</t>
  </si>
  <si>
    <t>Neinvestiční dotace městským obvodům z rozpočtu SMO k 31.12.2018</t>
  </si>
  <si>
    <t>demolice garáží ul. U Cementárny</t>
  </si>
  <si>
    <t>oprava MK ul. Čapajevova a část K.H.Máchy včetně opěrné zdi a dešť.kanal.</t>
  </si>
  <si>
    <t>rekonstrukce a modernizace odborných učeben Základní školy</t>
  </si>
  <si>
    <t>oprava odvodňovacích žlabů na nám Dr. Brauna</t>
  </si>
  <si>
    <t>projekt "Oslava 80 let založení ZŠ a MŠ v Hošťálkovicích a oslava …"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</si>
</sst>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$-405]d\.\ mmmm\ yyyy"/>
    <numFmt numFmtId="167" formatCode="#,##0.0"/>
    <numFmt numFmtId="168" formatCode="#,##0.000"/>
    <numFmt numFmtId="169" formatCode="0.0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9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/>
    </xf>
    <xf numFmtId="0" fontId="6" fillId="6" borderId="17" xfId="0" applyFont="1" applyFill="1" applyBorder="1" applyAlignment="1">
      <alignment/>
    </xf>
    <xf numFmtId="0" fontId="1" fillId="6" borderId="18" xfId="0" applyFont="1" applyFill="1" applyBorder="1" applyAlignment="1">
      <alignment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1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1" fontId="0" fillId="0" borderId="24" xfId="0" applyNumberFormat="1" applyFill="1" applyBorder="1" applyAlignment="1">
      <alignment vertical="center"/>
    </xf>
    <xf numFmtId="1" fontId="1" fillId="0" borderId="26" xfId="0" applyNumberFormat="1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4" fontId="1" fillId="0" borderId="18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3" fontId="1" fillId="6" borderId="28" xfId="0" applyNumberFormat="1" applyFon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1" fontId="1" fillId="0" borderId="27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6" borderId="33" xfId="0" applyNumberFormat="1" applyFont="1" applyFill="1" applyBorder="1" applyAlignment="1">
      <alignment vertical="center"/>
    </xf>
    <xf numFmtId="4" fontId="1" fillId="6" borderId="28" xfId="0" applyNumberFormat="1" applyFon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1" fontId="0" fillId="0" borderId="27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" fontId="0" fillId="0" borderId="18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0" fillId="0" borderId="2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1" fontId="0" fillId="0" borderId="35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4" fontId="0" fillId="0" borderId="35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1" fontId="0" fillId="0" borderId="22" xfId="0" applyNumberFormat="1" applyFill="1" applyBorder="1" applyAlignment="1">
      <alignment vertical="center"/>
    </xf>
    <xf numFmtId="1" fontId="0" fillId="0" borderId="38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3" fontId="0" fillId="0" borderId="38" xfId="0" applyNumberFormat="1" applyFill="1" applyBorder="1" applyAlignment="1">
      <alignment vertical="center"/>
    </xf>
    <xf numFmtId="4" fontId="0" fillId="0" borderId="40" xfId="0" applyNumberFormat="1" applyFill="1" applyBorder="1" applyAlignment="1">
      <alignment vertical="center"/>
    </xf>
    <xf numFmtId="1" fontId="0" fillId="0" borderId="41" xfId="0" applyNumberFormat="1" applyFill="1" applyBorder="1" applyAlignment="1">
      <alignment vertical="center"/>
    </xf>
    <xf numFmtId="3" fontId="0" fillId="0" borderId="42" xfId="0" applyNumberFormat="1" applyFill="1" applyBorder="1" applyAlignment="1">
      <alignment vertical="center"/>
    </xf>
    <xf numFmtId="3" fontId="0" fillId="0" borderId="41" xfId="0" applyNumberFormat="1" applyFill="1" applyBorder="1" applyAlignment="1">
      <alignment vertical="center"/>
    </xf>
    <xf numFmtId="3" fontId="0" fillId="0" borderId="41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1" fontId="0" fillId="0" borderId="17" xfId="0" applyNumberFormat="1" applyFill="1" applyBorder="1" applyAlignment="1">
      <alignment vertical="center"/>
    </xf>
    <xf numFmtId="1" fontId="0" fillId="0" borderId="20" xfId="0" applyNumberFormat="1" applyFill="1" applyBorder="1" applyAlignment="1">
      <alignment vertical="center"/>
    </xf>
    <xf numFmtId="3" fontId="0" fillId="0" borderId="44" xfId="0" applyNumberFormat="1" applyFill="1" applyBorder="1" applyAlignment="1">
      <alignment vertical="center"/>
    </xf>
    <xf numFmtId="1" fontId="0" fillId="0" borderId="23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0" fillId="0" borderId="41" xfId="0" applyNumberForma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1" fontId="0" fillId="0" borderId="26" xfId="0" applyNumberFormat="1" applyFill="1" applyBorder="1" applyAlignment="1">
      <alignment vertical="center"/>
    </xf>
    <xf numFmtId="3" fontId="0" fillId="0" borderId="45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1" fontId="0" fillId="0" borderId="19" xfId="0" applyNumberFormat="1" applyFill="1" applyBorder="1" applyAlignment="1">
      <alignment vertical="center"/>
    </xf>
    <xf numFmtId="3" fontId="0" fillId="0" borderId="46" xfId="0" applyNumberFormat="1" applyFill="1" applyBorder="1" applyAlignment="1">
      <alignment vertical="center"/>
    </xf>
    <xf numFmtId="1" fontId="0" fillId="0" borderId="47" xfId="0" applyNumberFormat="1" applyFill="1" applyBorder="1" applyAlignment="1">
      <alignment vertical="center"/>
    </xf>
    <xf numFmtId="1" fontId="0" fillId="33" borderId="15" xfId="0" applyNumberFormat="1" applyFill="1" applyBorder="1" applyAlignment="1">
      <alignment vertical="center"/>
    </xf>
    <xf numFmtId="3" fontId="5" fillId="6" borderId="17" xfId="0" applyNumberFormat="1" applyFont="1" applyFill="1" applyBorder="1" applyAlignment="1">
      <alignment vertical="center"/>
    </xf>
    <xf numFmtId="3" fontId="5" fillId="6" borderId="18" xfId="0" applyNumberFormat="1" applyFont="1" applyFill="1" applyBorder="1" applyAlignment="1">
      <alignment vertical="center"/>
    </xf>
    <xf numFmtId="4" fontId="5" fillId="6" borderId="18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4" fontId="1" fillId="6" borderId="47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right" vertical="center"/>
    </xf>
    <xf numFmtId="3" fontId="1" fillId="0" borderId="48" xfId="0" applyNumberFormat="1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37" xfId="0" applyNumberFormat="1" applyFill="1" applyBorder="1" applyAlignment="1">
      <alignment vertical="center"/>
    </xf>
    <xf numFmtId="0" fontId="0" fillId="0" borderId="13" xfId="0" applyBorder="1" applyAlignment="1">
      <alignment horizontal="center"/>
    </xf>
    <xf numFmtId="1" fontId="1" fillId="0" borderId="17" xfId="0" applyNumberFormat="1" applyFont="1" applyFill="1" applyBorder="1" applyAlignment="1">
      <alignment vertical="center"/>
    </xf>
    <xf numFmtId="1" fontId="1" fillId="0" borderId="26" xfId="0" applyNumberFormat="1" applyFont="1" applyFill="1" applyBorder="1" applyAlignment="1">
      <alignment horizontal="right" vertical="center"/>
    </xf>
    <xf numFmtId="1" fontId="0" fillId="0" borderId="50" xfId="0" applyNumberFormat="1" applyFill="1" applyBorder="1" applyAlignment="1">
      <alignment vertical="center"/>
    </xf>
    <xf numFmtId="3" fontId="0" fillId="0" borderId="51" xfId="0" applyNumberFormat="1" applyFill="1" applyBorder="1" applyAlignment="1">
      <alignment vertical="center"/>
    </xf>
    <xf numFmtId="3" fontId="0" fillId="0" borderId="52" xfId="0" applyNumberFormat="1" applyFill="1" applyBorder="1" applyAlignment="1">
      <alignment vertical="center"/>
    </xf>
    <xf numFmtId="3" fontId="0" fillId="0" borderId="50" xfId="0" applyNumberFormat="1" applyFill="1" applyBorder="1" applyAlignment="1">
      <alignment vertical="center"/>
    </xf>
    <xf numFmtId="4" fontId="0" fillId="0" borderId="53" xfId="0" applyNumberFormat="1" applyFill="1" applyBorder="1" applyAlignment="1">
      <alignment vertical="center"/>
    </xf>
    <xf numFmtId="0" fontId="0" fillId="0" borderId="13" xfId="0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48" xfId="0" applyNumberFormat="1" applyFill="1" applyBorder="1" applyAlignment="1">
      <alignment vertical="center"/>
    </xf>
    <xf numFmtId="1" fontId="0" fillId="0" borderId="53" xfId="0" applyNumberFormat="1" applyFill="1" applyBorder="1" applyAlignment="1">
      <alignment vertical="center"/>
    </xf>
    <xf numFmtId="4" fontId="1" fillId="6" borderId="11" xfId="0" applyNumberFormat="1" applyFont="1" applyFill="1" applyBorder="1" applyAlignment="1">
      <alignment vertical="center"/>
    </xf>
    <xf numFmtId="4" fontId="0" fillId="0" borderId="37" xfId="0" applyNumberFormat="1" applyFill="1" applyBorder="1" applyAlignment="1">
      <alignment vertical="center"/>
    </xf>
    <xf numFmtId="3" fontId="0" fillId="0" borderId="47" xfId="0" applyNumberFormat="1" applyFill="1" applyBorder="1" applyAlignment="1">
      <alignment vertical="center"/>
    </xf>
    <xf numFmtId="1" fontId="0" fillId="0" borderId="43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7" xfId="0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5" fillId="6" borderId="49" xfId="0" applyFont="1" applyFill="1" applyBorder="1" applyAlignment="1">
      <alignment vertical="center"/>
    </xf>
    <xf numFmtId="0" fontId="0" fillId="6" borderId="14" xfId="0" applyFill="1" applyBorder="1" applyAlignment="1">
      <alignment vertical="center" wrapText="1"/>
    </xf>
    <xf numFmtId="0" fontId="0" fillId="6" borderId="17" xfId="0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8"/>
  <sheetViews>
    <sheetView showGridLines="0" tabSelected="1" view="pageBreakPreview" zoomScale="120" zoomScaleSheetLayoutView="120" workbookViewId="0" topLeftCell="A232">
      <selection activeCell="I247" sqref="I247"/>
    </sheetView>
  </sheetViews>
  <sheetFormatPr defaultColWidth="9.00390625" defaultRowHeight="12.75"/>
  <cols>
    <col min="1" max="1" width="10.125" style="0" customWidth="1"/>
    <col min="2" max="2" width="7.75390625" style="0" customWidth="1"/>
    <col min="3" max="3" width="63.625" style="0" customWidth="1"/>
    <col min="4" max="5" width="16.75390625" style="0" customWidth="1"/>
    <col min="6" max="6" width="17.875" style="0" customWidth="1"/>
    <col min="7" max="7" width="15.375" style="0" customWidth="1"/>
    <col min="8" max="8" width="13.375" style="0" customWidth="1"/>
  </cols>
  <sheetData>
    <row r="1" spans="1:6" ht="15.75" customHeight="1">
      <c r="A1" s="3" t="s">
        <v>114</v>
      </c>
      <c r="F1" s="11"/>
    </row>
    <row r="2" spans="3:6" ht="12" customHeight="1" thickBot="1">
      <c r="C2" s="2"/>
      <c r="D2" s="2"/>
      <c r="F2" s="11" t="s">
        <v>88</v>
      </c>
    </row>
    <row r="3" spans="1:6" ht="12.75" customHeight="1">
      <c r="A3" s="143" t="s">
        <v>33</v>
      </c>
      <c r="B3" s="13"/>
      <c r="C3" s="14"/>
      <c r="D3" s="143" t="s">
        <v>87</v>
      </c>
      <c r="E3" s="143" t="s">
        <v>86</v>
      </c>
      <c r="F3" s="15"/>
    </row>
    <row r="4" spans="1:6" ht="12.75">
      <c r="A4" s="152"/>
      <c r="B4" s="16" t="s">
        <v>0</v>
      </c>
      <c r="C4" s="17" t="s">
        <v>1</v>
      </c>
      <c r="D4" s="144"/>
      <c r="E4" s="144"/>
      <c r="F4" s="18" t="s">
        <v>94</v>
      </c>
    </row>
    <row r="5" spans="1:6" ht="12.75" customHeight="1" thickBot="1">
      <c r="A5" s="153"/>
      <c r="B5" s="19"/>
      <c r="C5" s="20"/>
      <c r="D5" s="145"/>
      <c r="E5" s="145"/>
      <c r="F5" s="21"/>
    </row>
    <row r="6" spans="1:6" ht="15" customHeight="1">
      <c r="A6" s="117" t="s">
        <v>10</v>
      </c>
      <c r="B6" s="22">
        <v>90</v>
      </c>
      <c r="C6" s="23" t="s">
        <v>2</v>
      </c>
      <c r="D6" s="23">
        <v>2000000</v>
      </c>
      <c r="E6" s="23">
        <v>2000000</v>
      </c>
      <c r="F6" s="24">
        <v>2000000</v>
      </c>
    </row>
    <row r="7" spans="1:6" ht="15" customHeight="1">
      <c r="A7" s="118"/>
      <c r="B7" s="25">
        <v>90</v>
      </c>
      <c r="C7" s="26" t="s">
        <v>35</v>
      </c>
      <c r="D7" s="27">
        <v>5100000</v>
      </c>
      <c r="E7" s="27">
        <v>5100000</v>
      </c>
      <c r="F7" s="28">
        <v>5100000</v>
      </c>
    </row>
    <row r="8" spans="1:6" ht="15" customHeight="1">
      <c r="A8" s="118"/>
      <c r="B8" s="25">
        <v>91</v>
      </c>
      <c r="C8" s="26" t="s">
        <v>3</v>
      </c>
      <c r="D8" s="27">
        <v>937000</v>
      </c>
      <c r="E8" s="27">
        <v>937000</v>
      </c>
      <c r="F8" s="28">
        <v>937000</v>
      </c>
    </row>
    <row r="9" spans="1:6" ht="15" customHeight="1">
      <c r="A9" s="118"/>
      <c r="B9" s="25">
        <v>93</v>
      </c>
      <c r="C9" s="26" t="s">
        <v>64</v>
      </c>
      <c r="D9" s="29">
        <v>0</v>
      </c>
      <c r="E9" s="27">
        <v>370000</v>
      </c>
      <c r="F9" s="28">
        <v>370000</v>
      </c>
    </row>
    <row r="10" spans="1:6" ht="15" customHeight="1">
      <c r="A10" s="118"/>
      <c r="B10" s="25">
        <v>93</v>
      </c>
      <c r="C10" s="26" t="s">
        <v>83</v>
      </c>
      <c r="D10" s="29">
        <v>0</v>
      </c>
      <c r="E10" s="27">
        <v>500000</v>
      </c>
      <c r="F10" s="28">
        <v>500000</v>
      </c>
    </row>
    <row r="11" spans="1:6" ht="15" customHeight="1">
      <c r="A11" s="118"/>
      <c r="B11" s="25">
        <v>93</v>
      </c>
      <c r="C11" s="26" t="s">
        <v>95</v>
      </c>
      <c r="D11" s="29">
        <v>0</v>
      </c>
      <c r="E11" s="27">
        <v>2500000</v>
      </c>
      <c r="F11" s="28">
        <v>2500000</v>
      </c>
    </row>
    <row r="12" spans="1:6" ht="15" customHeight="1">
      <c r="A12" s="118"/>
      <c r="B12" s="25">
        <v>93</v>
      </c>
      <c r="C12" s="26" t="s">
        <v>80</v>
      </c>
      <c r="D12" s="29">
        <v>0</v>
      </c>
      <c r="E12" s="27">
        <f>1059000-1059000</f>
        <v>0</v>
      </c>
      <c r="F12" s="28">
        <v>0</v>
      </c>
    </row>
    <row r="13" spans="1:6" ht="15" customHeight="1">
      <c r="A13" s="118"/>
      <c r="B13" s="25">
        <v>1010</v>
      </c>
      <c r="C13" s="26" t="s">
        <v>47</v>
      </c>
      <c r="D13" s="29">
        <v>0</v>
      </c>
      <c r="E13" s="27">
        <v>3109000</v>
      </c>
      <c r="F13" s="28">
        <v>3109000</v>
      </c>
    </row>
    <row r="14" spans="1:6" ht="15" customHeight="1">
      <c r="A14" s="118"/>
      <c r="B14" s="25">
        <v>1030</v>
      </c>
      <c r="C14" s="26" t="s">
        <v>43</v>
      </c>
      <c r="D14" s="29">
        <v>740000</v>
      </c>
      <c r="E14" s="27">
        <f>740000-739000</f>
        <v>1000</v>
      </c>
      <c r="F14" s="28">
        <v>0</v>
      </c>
    </row>
    <row r="15" spans="1:6" ht="15" customHeight="1">
      <c r="A15" s="118"/>
      <c r="B15" s="25">
        <v>1030</v>
      </c>
      <c r="C15" s="26" t="s">
        <v>44</v>
      </c>
      <c r="D15" s="29">
        <v>559000</v>
      </c>
      <c r="E15" s="27">
        <v>559000</v>
      </c>
      <c r="F15" s="28">
        <v>284350</v>
      </c>
    </row>
    <row r="16" spans="1:6" ht="15" customHeight="1">
      <c r="A16" s="118"/>
      <c r="B16" s="25">
        <v>1030</v>
      </c>
      <c r="C16" s="26" t="s">
        <v>70</v>
      </c>
      <c r="D16" s="29">
        <v>0</v>
      </c>
      <c r="E16" s="27">
        <v>885000</v>
      </c>
      <c r="F16" s="28">
        <v>390885.15</v>
      </c>
    </row>
    <row r="17" spans="1:6" ht="15" customHeight="1">
      <c r="A17" s="118"/>
      <c r="B17" s="25">
        <v>1030</v>
      </c>
      <c r="C17" s="26" t="s">
        <v>71</v>
      </c>
      <c r="D17" s="29">
        <v>0</v>
      </c>
      <c r="E17" s="27">
        <f>706000-706000</f>
        <v>0</v>
      </c>
      <c r="F17" s="28">
        <v>0</v>
      </c>
    </row>
    <row r="18" spans="1:6" ht="15" customHeight="1">
      <c r="A18" s="118"/>
      <c r="B18" s="25">
        <v>1030</v>
      </c>
      <c r="C18" s="26" t="s">
        <v>98</v>
      </c>
      <c r="D18" s="29">
        <v>0</v>
      </c>
      <c r="E18" s="27">
        <v>941000</v>
      </c>
      <c r="F18" s="28">
        <f>940056-33738.98</f>
        <v>906317.02</v>
      </c>
    </row>
    <row r="19" spans="1:6" ht="15" customHeight="1">
      <c r="A19" s="118"/>
      <c r="B19" s="25">
        <v>1355</v>
      </c>
      <c r="C19" s="26" t="s">
        <v>84</v>
      </c>
      <c r="D19" s="29">
        <v>0</v>
      </c>
      <c r="E19" s="27">
        <f>20734000+18194000</f>
        <v>38928000</v>
      </c>
      <c r="F19" s="28">
        <f>20733670.1+18194747.12</f>
        <v>38928417.22</v>
      </c>
    </row>
    <row r="20" spans="1:6" ht="15" customHeight="1">
      <c r="A20" s="118"/>
      <c r="B20" s="25">
        <v>3111</v>
      </c>
      <c r="C20" s="26" t="s">
        <v>36</v>
      </c>
      <c r="D20" s="29">
        <v>307000</v>
      </c>
      <c r="E20" s="27">
        <v>307000</v>
      </c>
      <c r="F20" s="28">
        <v>307379</v>
      </c>
    </row>
    <row r="21" spans="1:6" ht="15" customHeight="1">
      <c r="A21" s="118"/>
      <c r="B21" s="30">
        <v>3637</v>
      </c>
      <c r="C21" s="27" t="s">
        <v>34</v>
      </c>
      <c r="D21" s="29">
        <v>0</v>
      </c>
      <c r="E21" s="27">
        <v>11000</v>
      </c>
      <c r="F21" s="28">
        <v>11000</v>
      </c>
    </row>
    <row r="22" spans="1:6" ht="15" customHeight="1">
      <c r="A22" s="118"/>
      <c r="B22" s="30">
        <v>6402</v>
      </c>
      <c r="C22" s="27" t="s">
        <v>85</v>
      </c>
      <c r="D22" s="29">
        <v>0</v>
      </c>
      <c r="E22" s="27">
        <v>189000</v>
      </c>
      <c r="F22" s="28">
        <v>189251.77</v>
      </c>
    </row>
    <row r="23" spans="1:6" ht="15" customHeight="1">
      <c r="A23" s="118"/>
      <c r="B23" s="30">
        <v>7402</v>
      </c>
      <c r="C23" s="27" t="s">
        <v>58</v>
      </c>
      <c r="D23" s="29">
        <v>0</v>
      </c>
      <c r="E23" s="27">
        <v>417000</v>
      </c>
      <c r="F23" s="28">
        <v>417000</v>
      </c>
    </row>
    <row r="24" spans="1:6" ht="15" customHeight="1">
      <c r="A24" s="118"/>
      <c r="B24" s="30">
        <v>7402</v>
      </c>
      <c r="C24" s="27" t="s">
        <v>109</v>
      </c>
      <c r="D24" s="29">
        <v>0</v>
      </c>
      <c r="E24" s="27">
        <v>139000</v>
      </c>
      <c r="F24" s="28">
        <v>139000</v>
      </c>
    </row>
    <row r="25" spans="1:6" ht="15" customHeight="1">
      <c r="A25" s="118"/>
      <c r="B25" s="30">
        <v>7606</v>
      </c>
      <c r="C25" s="27" t="s">
        <v>77</v>
      </c>
      <c r="D25" s="29">
        <v>0</v>
      </c>
      <c r="E25" s="27">
        <v>313000</v>
      </c>
      <c r="F25" s="28">
        <v>312800</v>
      </c>
    </row>
    <row r="26" spans="1:6" ht="15" customHeight="1">
      <c r="A26" s="118"/>
      <c r="B26" s="30">
        <v>7608</v>
      </c>
      <c r="C26" s="44" t="s">
        <v>62</v>
      </c>
      <c r="D26" s="27">
        <v>0</v>
      </c>
      <c r="E26" s="27">
        <v>831000</v>
      </c>
      <c r="F26" s="28">
        <v>830471.35</v>
      </c>
    </row>
    <row r="27" spans="1:6" ht="15" customHeight="1" thickBot="1">
      <c r="A27" s="118"/>
      <c r="B27" s="25">
        <v>7608</v>
      </c>
      <c r="C27" s="26" t="s">
        <v>38</v>
      </c>
      <c r="D27" s="29">
        <v>0</v>
      </c>
      <c r="E27" s="27">
        <v>68000</v>
      </c>
      <c r="F27" s="28">
        <f>67760-12100</f>
        <v>55660</v>
      </c>
    </row>
    <row r="28" spans="1:6" ht="15" customHeight="1" thickBot="1" thickTop="1">
      <c r="A28" s="119"/>
      <c r="B28" s="31"/>
      <c r="C28" s="32" t="s">
        <v>6</v>
      </c>
      <c r="D28" s="32">
        <f>SUM(D6:D27)</f>
        <v>9643000</v>
      </c>
      <c r="E28" s="32">
        <f>SUM(E6:E27)</f>
        <v>58105000</v>
      </c>
      <c r="F28" s="33">
        <f>SUM(F6:F27)</f>
        <v>57288531.510000005</v>
      </c>
    </row>
    <row r="29" spans="1:6" ht="15" customHeight="1" thickBot="1">
      <c r="A29" s="119"/>
      <c r="B29" s="34"/>
      <c r="C29" s="35" t="s">
        <v>5</v>
      </c>
      <c r="D29" s="36">
        <v>154972000</v>
      </c>
      <c r="E29" s="36">
        <v>156721000</v>
      </c>
      <c r="F29" s="37">
        <v>156720250</v>
      </c>
    </row>
    <row r="30" spans="1:7" ht="15" customHeight="1" thickBot="1">
      <c r="A30" s="119"/>
      <c r="B30" s="38"/>
      <c r="C30" s="39" t="s">
        <v>89</v>
      </c>
      <c r="D30" s="39">
        <f>SUM(D28:D29)</f>
        <v>164615000</v>
      </c>
      <c r="E30" s="39">
        <f>SUM(E28:E29)</f>
        <v>214826000</v>
      </c>
      <c r="F30" s="50">
        <f>SUM(F28:F29)</f>
        <v>214008781.51</v>
      </c>
      <c r="G30" s="4"/>
    </row>
    <row r="31" spans="1:6" ht="15" customHeight="1">
      <c r="A31" s="122" t="s">
        <v>11</v>
      </c>
      <c r="B31" s="81">
        <v>90</v>
      </c>
      <c r="C31" s="58" t="s">
        <v>4</v>
      </c>
      <c r="D31" s="23">
        <v>8500000</v>
      </c>
      <c r="E31" s="23">
        <v>8500000</v>
      </c>
      <c r="F31" s="24">
        <v>8500000</v>
      </c>
    </row>
    <row r="32" spans="1:6" ht="15" customHeight="1">
      <c r="A32" s="126"/>
      <c r="B32" s="26">
        <v>91</v>
      </c>
      <c r="C32" s="42" t="s">
        <v>3</v>
      </c>
      <c r="D32" s="26">
        <v>295000</v>
      </c>
      <c r="E32" s="26">
        <v>295000</v>
      </c>
      <c r="F32" s="43">
        <v>295000</v>
      </c>
    </row>
    <row r="33" spans="1:6" ht="15" customHeight="1">
      <c r="A33" s="126"/>
      <c r="B33" s="26">
        <v>93</v>
      </c>
      <c r="C33" s="42" t="s">
        <v>41</v>
      </c>
      <c r="D33" s="26">
        <v>6865000</v>
      </c>
      <c r="E33" s="26">
        <v>6865000</v>
      </c>
      <c r="F33" s="43">
        <f>953615+1785870+2739019</f>
        <v>5478504</v>
      </c>
    </row>
    <row r="34" spans="1:6" ht="15" customHeight="1">
      <c r="A34" s="126"/>
      <c r="B34" s="26">
        <v>93</v>
      </c>
      <c r="C34" s="42" t="s">
        <v>68</v>
      </c>
      <c r="D34" s="44">
        <v>0</v>
      </c>
      <c r="E34" s="26">
        <v>2457000</v>
      </c>
      <c r="F34" s="43">
        <v>2456214.6</v>
      </c>
    </row>
    <row r="35" spans="1:6" ht="15" customHeight="1">
      <c r="A35" s="126"/>
      <c r="B35" s="26">
        <v>93</v>
      </c>
      <c r="C35" s="42" t="s">
        <v>112</v>
      </c>
      <c r="D35" s="44">
        <v>0</v>
      </c>
      <c r="E35" s="26">
        <f>2400000+791000</f>
        <v>3191000</v>
      </c>
      <c r="F35" s="43">
        <f>2349179.4+791000</f>
        <v>3140179.4</v>
      </c>
    </row>
    <row r="36" spans="1:6" ht="15" customHeight="1" thickBot="1">
      <c r="A36" s="124"/>
      <c r="B36" s="129">
        <v>1030</v>
      </c>
      <c r="C36" s="130" t="s">
        <v>72</v>
      </c>
      <c r="D36" s="131">
        <v>0</v>
      </c>
      <c r="E36" s="132">
        <v>90000</v>
      </c>
      <c r="F36" s="133">
        <v>90000</v>
      </c>
    </row>
    <row r="37" spans="1:6" ht="15" customHeight="1">
      <c r="A37" s="123" t="s">
        <v>11</v>
      </c>
      <c r="B37" s="83">
        <v>1030</v>
      </c>
      <c r="C37" s="40" t="s">
        <v>73</v>
      </c>
      <c r="D37" s="29">
        <v>0</v>
      </c>
      <c r="E37" s="27">
        <v>34000</v>
      </c>
      <c r="F37" s="28">
        <v>33177</v>
      </c>
    </row>
    <row r="38" spans="1:6" ht="15" customHeight="1">
      <c r="A38" s="126"/>
      <c r="B38" s="69">
        <v>1030</v>
      </c>
      <c r="C38" s="42" t="s">
        <v>110</v>
      </c>
      <c r="D38" s="44">
        <v>0</v>
      </c>
      <c r="E38" s="26">
        <v>135000</v>
      </c>
      <c r="F38" s="43">
        <v>134287.2</v>
      </c>
    </row>
    <row r="39" spans="1:6" ht="15" customHeight="1">
      <c r="A39" s="126"/>
      <c r="B39" s="69">
        <v>1355</v>
      </c>
      <c r="C39" s="44" t="s">
        <v>84</v>
      </c>
      <c r="D39" s="44">
        <v>0</v>
      </c>
      <c r="E39" s="26">
        <f>87000+71000</f>
        <v>158000</v>
      </c>
      <c r="F39" s="43">
        <f>86570.65+71377.35</f>
        <v>157948</v>
      </c>
    </row>
    <row r="40" spans="1:6" ht="15" customHeight="1">
      <c r="A40" s="126"/>
      <c r="B40" s="69">
        <v>3111</v>
      </c>
      <c r="C40" s="44" t="s">
        <v>36</v>
      </c>
      <c r="D40" s="26">
        <v>369000</v>
      </c>
      <c r="E40" s="26">
        <v>369000</v>
      </c>
      <c r="F40" s="43">
        <v>369200</v>
      </c>
    </row>
    <row r="41" spans="1:6" ht="15" customHeight="1">
      <c r="A41" s="126"/>
      <c r="B41" s="83">
        <v>3637</v>
      </c>
      <c r="C41" s="29" t="s">
        <v>34</v>
      </c>
      <c r="D41" s="29">
        <v>0</v>
      </c>
      <c r="E41" s="26">
        <v>5000</v>
      </c>
      <c r="F41" s="43">
        <v>2240.37</v>
      </c>
    </row>
    <row r="42" spans="1:6" ht="15" customHeight="1">
      <c r="A42" s="126"/>
      <c r="B42" s="69">
        <v>7101</v>
      </c>
      <c r="C42" s="42" t="s">
        <v>50</v>
      </c>
      <c r="D42" s="44">
        <v>0</v>
      </c>
      <c r="E42" s="26">
        <v>1302000</v>
      </c>
      <c r="F42" s="43">
        <v>1302000</v>
      </c>
    </row>
    <row r="43" spans="1:6" ht="15" customHeight="1">
      <c r="A43" s="134"/>
      <c r="B43" s="83">
        <v>7102</v>
      </c>
      <c r="C43" s="40" t="s">
        <v>92</v>
      </c>
      <c r="D43" s="29">
        <v>0</v>
      </c>
      <c r="E43" s="27">
        <v>150000</v>
      </c>
      <c r="F43" s="28">
        <v>150000</v>
      </c>
    </row>
    <row r="44" spans="1:6" ht="15" customHeight="1">
      <c r="A44" s="126"/>
      <c r="B44" s="69">
        <v>7102</v>
      </c>
      <c r="C44" s="42" t="s">
        <v>93</v>
      </c>
      <c r="D44" s="44">
        <v>0</v>
      </c>
      <c r="E44" s="26">
        <v>50000</v>
      </c>
      <c r="F44" s="43">
        <v>50000</v>
      </c>
    </row>
    <row r="45" spans="1:6" ht="15" customHeight="1">
      <c r="A45" s="126"/>
      <c r="B45" s="69">
        <v>7102</v>
      </c>
      <c r="C45" s="42" t="s">
        <v>91</v>
      </c>
      <c r="D45" s="44">
        <v>0</v>
      </c>
      <c r="E45" s="26">
        <v>100000</v>
      </c>
      <c r="F45" s="43">
        <v>100000</v>
      </c>
    </row>
    <row r="46" spans="1:6" ht="15" customHeight="1" thickBot="1">
      <c r="A46" s="123"/>
      <c r="B46" s="83">
        <v>7402</v>
      </c>
      <c r="C46" s="40" t="s">
        <v>58</v>
      </c>
      <c r="D46" s="29">
        <v>0</v>
      </c>
      <c r="E46" s="27">
        <v>280000</v>
      </c>
      <c r="F46" s="28">
        <v>280000</v>
      </c>
    </row>
    <row r="47" spans="1:6" ht="15" customHeight="1" thickBot="1" thickTop="1">
      <c r="A47" s="126"/>
      <c r="B47" s="31"/>
      <c r="C47" s="46" t="s">
        <v>6</v>
      </c>
      <c r="D47" s="46">
        <f>SUM(D31:D46)</f>
        <v>16029000</v>
      </c>
      <c r="E47" s="32">
        <f>SUM(E31:E46)</f>
        <v>23981000</v>
      </c>
      <c r="F47" s="33">
        <f>SUM(F31:F46)</f>
        <v>22538750.57</v>
      </c>
    </row>
    <row r="48" spans="1:6" ht="15" customHeight="1" thickBot="1">
      <c r="A48" s="126"/>
      <c r="B48" s="127"/>
      <c r="C48" s="47" t="s">
        <v>5</v>
      </c>
      <c r="D48" s="48">
        <v>102174000</v>
      </c>
      <c r="E48" s="36">
        <v>102178000</v>
      </c>
      <c r="F48" s="37">
        <v>102177064.44</v>
      </c>
    </row>
    <row r="49" spans="1:7" ht="15" customHeight="1" thickBot="1">
      <c r="A49" s="124"/>
      <c r="B49" s="127"/>
      <c r="C49" s="39" t="s">
        <v>89</v>
      </c>
      <c r="D49" s="49">
        <f>SUM(D47:D48)</f>
        <v>118203000</v>
      </c>
      <c r="E49" s="39">
        <f>SUM(E47:E48)</f>
        <v>126159000</v>
      </c>
      <c r="F49" s="50">
        <f>SUM(F47:F48)</f>
        <v>124715815.00999999</v>
      </c>
      <c r="G49" s="4"/>
    </row>
    <row r="50" spans="1:8" ht="15" customHeight="1">
      <c r="A50" s="117" t="s">
        <v>12</v>
      </c>
      <c r="B50" s="51">
        <v>90</v>
      </c>
      <c r="C50" s="40" t="s">
        <v>2</v>
      </c>
      <c r="D50" s="27">
        <v>3000000</v>
      </c>
      <c r="E50" s="27">
        <v>3000000</v>
      </c>
      <c r="F50" s="28">
        <v>3000000</v>
      </c>
      <c r="G50" s="6"/>
      <c r="H50" s="10"/>
    </row>
    <row r="51" spans="1:8" ht="15" customHeight="1">
      <c r="A51" s="118"/>
      <c r="B51" s="51">
        <v>91</v>
      </c>
      <c r="C51" s="40" t="s">
        <v>3</v>
      </c>
      <c r="D51" s="27">
        <v>1991000</v>
      </c>
      <c r="E51" s="27">
        <v>1991000</v>
      </c>
      <c r="F51" s="28">
        <v>1991000</v>
      </c>
      <c r="G51" s="6"/>
      <c r="H51" s="10"/>
    </row>
    <row r="52" spans="1:8" ht="15" customHeight="1">
      <c r="A52" s="118"/>
      <c r="B52" s="25">
        <v>1355</v>
      </c>
      <c r="C52" s="44" t="s">
        <v>84</v>
      </c>
      <c r="D52" s="27">
        <v>0</v>
      </c>
      <c r="E52" s="27">
        <f>7835000+4294000</f>
        <v>12129000</v>
      </c>
      <c r="F52" s="28">
        <f>7834643.61+4293807.56</f>
        <v>12128451.17</v>
      </c>
      <c r="G52" s="6"/>
      <c r="H52" s="10"/>
    </row>
    <row r="53" spans="1:8" ht="15" customHeight="1">
      <c r="A53" s="118"/>
      <c r="B53" s="30">
        <v>1030</v>
      </c>
      <c r="C53" s="40" t="s">
        <v>46</v>
      </c>
      <c r="D53" s="27">
        <v>0</v>
      </c>
      <c r="E53" s="27">
        <f>302000-302000</f>
        <v>0</v>
      </c>
      <c r="F53" s="28">
        <v>0</v>
      </c>
      <c r="G53" s="6"/>
      <c r="H53" s="10"/>
    </row>
    <row r="54" spans="1:8" ht="15" customHeight="1">
      <c r="A54" s="118"/>
      <c r="B54" s="25">
        <v>3111</v>
      </c>
      <c r="C54" s="44" t="s">
        <v>36</v>
      </c>
      <c r="D54" s="27">
        <v>866000</v>
      </c>
      <c r="E54" s="27">
        <v>866000</v>
      </c>
      <c r="F54" s="28">
        <v>866129</v>
      </c>
      <c r="G54" s="6"/>
      <c r="H54" s="10"/>
    </row>
    <row r="55" spans="1:8" ht="15" customHeight="1">
      <c r="A55" s="118"/>
      <c r="B55" s="30">
        <v>3637</v>
      </c>
      <c r="C55" s="29" t="s">
        <v>34</v>
      </c>
      <c r="D55" s="27">
        <v>0</v>
      </c>
      <c r="E55" s="27">
        <v>8000</v>
      </c>
      <c r="F55" s="28">
        <v>8000</v>
      </c>
      <c r="G55" s="6"/>
      <c r="H55" s="10"/>
    </row>
    <row r="56" spans="1:8" ht="15" customHeight="1">
      <c r="A56" s="118"/>
      <c r="B56" s="30">
        <v>6402</v>
      </c>
      <c r="C56" s="29" t="s">
        <v>85</v>
      </c>
      <c r="D56" s="27">
        <v>0</v>
      </c>
      <c r="E56" s="27">
        <v>428000</v>
      </c>
      <c r="F56" s="28">
        <v>428350.76</v>
      </c>
      <c r="G56" s="6"/>
      <c r="H56" s="10"/>
    </row>
    <row r="57" spans="1:8" ht="15" customHeight="1">
      <c r="A57" s="118"/>
      <c r="B57" s="30">
        <v>7402</v>
      </c>
      <c r="C57" s="40" t="s">
        <v>58</v>
      </c>
      <c r="D57" s="27">
        <v>0</v>
      </c>
      <c r="E57" s="27">
        <v>945000</v>
      </c>
      <c r="F57" s="28">
        <v>945000</v>
      </c>
      <c r="G57" s="6"/>
      <c r="H57" s="10"/>
    </row>
    <row r="58" spans="1:8" ht="15" customHeight="1">
      <c r="A58" s="118"/>
      <c r="B58" s="30">
        <v>7402</v>
      </c>
      <c r="C58" s="27" t="s">
        <v>109</v>
      </c>
      <c r="D58" s="29">
        <v>0</v>
      </c>
      <c r="E58" s="27">
        <v>164000</v>
      </c>
      <c r="F58" s="28">
        <v>164000</v>
      </c>
      <c r="G58" s="6"/>
      <c r="H58" s="10"/>
    </row>
    <row r="59" spans="1:8" ht="15" customHeight="1">
      <c r="A59" s="118"/>
      <c r="B59" s="30">
        <v>7606</v>
      </c>
      <c r="C59" s="29" t="s">
        <v>77</v>
      </c>
      <c r="D59" s="27">
        <v>0</v>
      </c>
      <c r="E59" s="27">
        <v>429000</v>
      </c>
      <c r="F59" s="28">
        <v>428400</v>
      </c>
      <c r="G59" s="6"/>
      <c r="H59" s="10"/>
    </row>
    <row r="60" spans="1:8" ht="15" customHeight="1">
      <c r="A60" s="118"/>
      <c r="B60" s="30">
        <v>7608</v>
      </c>
      <c r="C60" s="40" t="s">
        <v>63</v>
      </c>
      <c r="D60" s="27">
        <v>0</v>
      </c>
      <c r="E60" s="27">
        <v>177000</v>
      </c>
      <c r="F60" s="28">
        <f>176660-55660</f>
        <v>121000</v>
      </c>
      <c r="G60" s="6"/>
      <c r="H60" s="10"/>
    </row>
    <row r="61" spans="1:8" ht="15" customHeight="1" thickBot="1">
      <c r="A61" s="118"/>
      <c r="B61" s="25">
        <v>7608</v>
      </c>
      <c r="C61" s="44" t="s">
        <v>62</v>
      </c>
      <c r="D61" s="27">
        <v>0</v>
      </c>
      <c r="E61" s="27">
        <f>800000+654000+500000</f>
        <v>1954000</v>
      </c>
      <c r="F61" s="28">
        <f>800000+653873.3+500000</f>
        <v>1953873.3</v>
      </c>
      <c r="G61" s="6"/>
      <c r="H61" s="10"/>
    </row>
    <row r="62" spans="1:8" ht="15" customHeight="1" thickBot="1" thickTop="1">
      <c r="A62" s="119"/>
      <c r="B62" s="45"/>
      <c r="C62" s="46" t="s">
        <v>6</v>
      </c>
      <c r="D62" s="32">
        <f>SUM(D50:D61)</f>
        <v>5857000</v>
      </c>
      <c r="E62" s="32">
        <f>SUM(E50:E61)</f>
        <v>22091000</v>
      </c>
      <c r="F62" s="33">
        <f>SUM(F50:F61)</f>
        <v>22034204.230000004</v>
      </c>
      <c r="G62" s="6"/>
      <c r="H62" s="10"/>
    </row>
    <row r="63" spans="1:8" ht="15" customHeight="1" thickBot="1">
      <c r="A63" s="119"/>
      <c r="B63" s="34"/>
      <c r="C63" s="47" t="s">
        <v>5</v>
      </c>
      <c r="D63" s="36">
        <v>349034000</v>
      </c>
      <c r="E63" s="36">
        <v>349034000</v>
      </c>
      <c r="F63" s="97">
        <v>349034000</v>
      </c>
      <c r="G63" s="6"/>
      <c r="H63" s="10"/>
    </row>
    <row r="64" spans="1:8" ht="15" customHeight="1" thickBot="1">
      <c r="A64" s="120"/>
      <c r="B64" s="98"/>
      <c r="C64" s="39" t="s">
        <v>89</v>
      </c>
      <c r="D64" s="49">
        <f>SUM(D62:D63)</f>
        <v>354891000</v>
      </c>
      <c r="E64" s="39">
        <f>SUM(E62:E63)</f>
        <v>371125000</v>
      </c>
      <c r="F64" s="99">
        <f>SUM(F62:F63)</f>
        <v>371068204.23</v>
      </c>
      <c r="G64" s="10"/>
      <c r="H64" s="10"/>
    </row>
    <row r="65" spans="1:6" ht="15" customHeight="1">
      <c r="A65" s="122" t="s">
        <v>13</v>
      </c>
      <c r="B65" s="23">
        <v>91</v>
      </c>
      <c r="C65" s="58" t="s">
        <v>3</v>
      </c>
      <c r="D65" s="23">
        <v>1412000</v>
      </c>
      <c r="E65" s="23">
        <v>1412000</v>
      </c>
      <c r="F65" s="59">
        <v>1412000</v>
      </c>
    </row>
    <row r="66" spans="1:6" ht="15" customHeight="1">
      <c r="A66" s="123"/>
      <c r="B66" s="27">
        <v>93</v>
      </c>
      <c r="C66" s="40" t="s">
        <v>65</v>
      </c>
      <c r="D66" s="27">
        <v>0</v>
      </c>
      <c r="E66" s="27">
        <v>2118000</v>
      </c>
      <c r="F66" s="60">
        <f>47892.5+1117573.47+326860.45</f>
        <v>1492326.42</v>
      </c>
    </row>
    <row r="67" spans="1:6" ht="15" customHeight="1">
      <c r="A67" s="123"/>
      <c r="B67" s="27">
        <v>93</v>
      </c>
      <c r="C67" s="40" t="s">
        <v>96</v>
      </c>
      <c r="D67" s="27">
        <v>0</v>
      </c>
      <c r="E67" s="27">
        <v>244000</v>
      </c>
      <c r="F67" s="60">
        <v>244000</v>
      </c>
    </row>
    <row r="68" spans="1:6" ht="15" customHeight="1" thickBot="1">
      <c r="A68" s="135"/>
      <c r="B68" s="55">
        <v>93</v>
      </c>
      <c r="C68" s="136" t="s">
        <v>106</v>
      </c>
      <c r="D68" s="55">
        <v>0</v>
      </c>
      <c r="E68" s="55">
        <v>60000</v>
      </c>
      <c r="F68" s="56">
        <v>60000</v>
      </c>
    </row>
    <row r="69" spans="1:6" ht="15" customHeight="1">
      <c r="A69" s="123" t="s">
        <v>13</v>
      </c>
      <c r="B69" s="83">
        <v>7102</v>
      </c>
      <c r="C69" s="29" t="s">
        <v>65</v>
      </c>
      <c r="D69" s="27">
        <v>0</v>
      </c>
      <c r="E69" s="27">
        <v>70000</v>
      </c>
      <c r="F69" s="60">
        <v>70000</v>
      </c>
    </row>
    <row r="70" spans="1:6" ht="15" customHeight="1">
      <c r="A70" s="123"/>
      <c r="B70" s="69">
        <v>1355</v>
      </c>
      <c r="C70" s="44" t="s">
        <v>84</v>
      </c>
      <c r="D70" s="27">
        <v>0</v>
      </c>
      <c r="E70" s="27">
        <f>3116000+1344000</f>
        <v>4460000</v>
      </c>
      <c r="F70" s="60">
        <f>3116543.31+1344212.69</f>
        <v>4460756</v>
      </c>
    </row>
    <row r="71" spans="1:6" ht="15" customHeight="1">
      <c r="A71" s="123"/>
      <c r="B71" s="69">
        <v>3111</v>
      </c>
      <c r="C71" s="44" t="s">
        <v>36</v>
      </c>
      <c r="D71" s="27">
        <v>450000</v>
      </c>
      <c r="E71" s="27">
        <v>450000</v>
      </c>
      <c r="F71" s="60">
        <v>449990</v>
      </c>
    </row>
    <row r="72" spans="1:6" ht="15" customHeight="1">
      <c r="A72" s="123"/>
      <c r="B72" s="83">
        <v>3637</v>
      </c>
      <c r="C72" s="29" t="s">
        <v>34</v>
      </c>
      <c r="D72" s="27">
        <v>0</v>
      </c>
      <c r="E72" s="27">
        <v>33000</v>
      </c>
      <c r="F72" s="60">
        <v>33000</v>
      </c>
    </row>
    <row r="73" spans="1:6" ht="15" customHeight="1">
      <c r="A73" s="123"/>
      <c r="B73" s="83">
        <v>6402</v>
      </c>
      <c r="C73" s="29" t="s">
        <v>85</v>
      </c>
      <c r="D73" s="27">
        <v>0</v>
      </c>
      <c r="E73" s="27">
        <v>815000</v>
      </c>
      <c r="F73" s="60">
        <v>815159.14</v>
      </c>
    </row>
    <row r="74" spans="1:6" ht="15" customHeight="1">
      <c r="A74" s="123"/>
      <c r="B74" s="69">
        <v>7102</v>
      </c>
      <c r="C74" s="44" t="s">
        <v>90</v>
      </c>
      <c r="D74" s="27">
        <v>0</v>
      </c>
      <c r="E74" s="27">
        <v>100000</v>
      </c>
      <c r="F74" s="60">
        <v>100000</v>
      </c>
    </row>
    <row r="75" spans="1:6" ht="15" customHeight="1">
      <c r="A75" s="123"/>
      <c r="B75" s="69">
        <v>7402</v>
      </c>
      <c r="C75" s="44" t="s">
        <v>58</v>
      </c>
      <c r="D75" s="26">
        <v>0</v>
      </c>
      <c r="E75" s="26">
        <v>487000</v>
      </c>
      <c r="F75" s="86">
        <v>487000</v>
      </c>
    </row>
    <row r="76" spans="1:6" ht="15" customHeight="1">
      <c r="A76" s="123"/>
      <c r="B76" s="83">
        <v>7402</v>
      </c>
      <c r="C76" s="27" t="s">
        <v>109</v>
      </c>
      <c r="D76" s="44">
        <v>0</v>
      </c>
      <c r="E76" s="26">
        <v>128000</v>
      </c>
      <c r="F76" s="86">
        <v>128000</v>
      </c>
    </row>
    <row r="77" spans="1:6" ht="15" customHeight="1">
      <c r="A77" s="134"/>
      <c r="B77" s="83">
        <v>7606</v>
      </c>
      <c r="C77" s="29" t="s">
        <v>77</v>
      </c>
      <c r="D77" s="27">
        <v>0</v>
      </c>
      <c r="E77" s="27">
        <v>361000</v>
      </c>
      <c r="F77" s="60">
        <v>360400</v>
      </c>
    </row>
    <row r="78" spans="1:6" ht="15" customHeight="1">
      <c r="A78" s="123"/>
      <c r="B78" s="83">
        <v>7608</v>
      </c>
      <c r="C78" s="44" t="s">
        <v>62</v>
      </c>
      <c r="D78" s="27">
        <v>0</v>
      </c>
      <c r="E78" s="27">
        <v>118000</v>
      </c>
      <c r="F78" s="60">
        <v>117125.93</v>
      </c>
    </row>
    <row r="79" spans="1:6" ht="15" customHeight="1" thickBot="1">
      <c r="A79" s="123"/>
      <c r="B79" s="69">
        <v>7608</v>
      </c>
      <c r="C79" s="44" t="s">
        <v>38</v>
      </c>
      <c r="D79" s="27">
        <v>0</v>
      </c>
      <c r="E79" s="27">
        <v>13000</v>
      </c>
      <c r="F79" s="60">
        <f>12100-2420</f>
        <v>9680</v>
      </c>
    </row>
    <row r="80" spans="1:6" ht="15" customHeight="1" thickBot="1" thickTop="1">
      <c r="A80" s="126"/>
      <c r="B80" s="128"/>
      <c r="C80" s="46" t="s">
        <v>6</v>
      </c>
      <c r="D80" s="32">
        <f>SUM(D65:D79)</f>
        <v>1862000</v>
      </c>
      <c r="E80" s="32">
        <f>SUM(E65:E79)</f>
        <v>10869000</v>
      </c>
      <c r="F80" s="100">
        <f>SUM(F65:F79)</f>
        <v>10239437.49</v>
      </c>
    </row>
    <row r="81" spans="1:6" ht="15" customHeight="1" thickBot="1">
      <c r="A81" s="119"/>
      <c r="B81" s="101"/>
      <c r="C81" s="47" t="s">
        <v>5</v>
      </c>
      <c r="D81" s="36">
        <v>231561000</v>
      </c>
      <c r="E81" s="36">
        <v>231711000</v>
      </c>
      <c r="F81" s="97">
        <v>231711000</v>
      </c>
    </row>
    <row r="82" spans="1:7" ht="15" customHeight="1" thickBot="1">
      <c r="A82" s="120"/>
      <c r="B82" s="34"/>
      <c r="C82" s="39" t="s">
        <v>89</v>
      </c>
      <c r="D82" s="49">
        <f>SUM(D80:D81)</f>
        <v>233423000</v>
      </c>
      <c r="E82" s="39">
        <f>SUM(E80:E81)</f>
        <v>242580000</v>
      </c>
      <c r="F82" s="99">
        <f>SUM(F80:F81)</f>
        <v>241950437.49</v>
      </c>
      <c r="G82" s="4"/>
    </row>
    <row r="83" spans="1:7" ht="15" customHeight="1">
      <c r="A83" s="117" t="s">
        <v>14</v>
      </c>
      <c r="B83" s="22">
        <v>91</v>
      </c>
      <c r="C83" s="58" t="s">
        <v>3</v>
      </c>
      <c r="D83" s="23">
        <v>34000</v>
      </c>
      <c r="E83" s="23">
        <v>34000</v>
      </c>
      <c r="F83" s="24">
        <v>34000</v>
      </c>
      <c r="G83" s="4"/>
    </row>
    <row r="84" spans="1:7" ht="15" customHeight="1">
      <c r="A84" s="118"/>
      <c r="B84" s="25">
        <v>1355</v>
      </c>
      <c r="C84" s="44" t="s">
        <v>84</v>
      </c>
      <c r="D84" s="61">
        <v>0</v>
      </c>
      <c r="E84" s="61">
        <f>1169000+1151000</f>
        <v>2320000</v>
      </c>
      <c r="F84" s="62">
        <f>1168703.74+1151682.59</f>
        <v>2320386.33</v>
      </c>
      <c r="G84" s="4"/>
    </row>
    <row r="85" spans="1:7" ht="15" customHeight="1">
      <c r="A85" s="118"/>
      <c r="B85" s="25">
        <v>1010</v>
      </c>
      <c r="C85" s="44" t="s">
        <v>47</v>
      </c>
      <c r="D85" s="26">
        <v>0</v>
      </c>
      <c r="E85" s="26">
        <v>135000</v>
      </c>
      <c r="F85" s="43">
        <v>0</v>
      </c>
      <c r="G85" s="4"/>
    </row>
    <row r="86" spans="1:7" ht="15" customHeight="1" thickBot="1">
      <c r="A86" s="118"/>
      <c r="B86" s="63">
        <v>6402</v>
      </c>
      <c r="C86" s="64" t="s">
        <v>85</v>
      </c>
      <c r="D86" s="65">
        <v>0</v>
      </c>
      <c r="E86" s="65">
        <v>155000</v>
      </c>
      <c r="F86" s="66">
        <v>155120.08</v>
      </c>
      <c r="G86" s="4"/>
    </row>
    <row r="87" spans="1:7" ht="15" customHeight="1" thickBot="1" thickTop="1">
      <c r="A87" s="118"/>
      <c r="B87" s="67"/>
      <c r="C87" s="48" t="s">
        <v>6</v>
      </c>
      <c r="D87" s="36">
        <f>SUM(D83:D86)</f>
        <v>34000</v>
      </c>
      <c r="E87" s="36">
        <f>SUM(E83:E86)</f>
        <v>2644000</v>
      </c>
      <c r="F87" s="97">
        <f>SUM(F83:F86)</f>
        <v>2509506.41</v>
      </c>
      <c r="G87" s="4"/>
    </row>
    <row r="88" spans="1:7" ht="15" customHeight="1" thickBot="1">
      <c r="A88" s="118"/>
      <c r="B88" s="67"/>
      <c r="C88" s="47" t="s">
        <v>5</v>
      </c>
      <c r="D88" s="36">
        <v>9351000</v>
      </c>
      <c r="E88" s="36">
        <v>9351000</v>
      </c>
      <c r="F88" s="97">
        <v>9351000</v>
      </c>
      <c r="G88" s="4"/>
    </row>
    <row r="89" spans="1:7" ht="15" customHeight="1" thickBot="1">
      <c r="A89" s="120"/>
      <c r="B89" s="54"/>
      <c r="C89" s="39" t="s">
        <v>89</v>
      </c>
      <c r="D89" s="49">
        <f>SUM(D87:D88)</f>
        <v>9385000</v>
      </c>
      <c r="E89" s="39">
        <f>SUM(E87:E88)</f>
        <v>11995000</v>
      </c>
      <c r="F89" s="99">
        <f>SUM(F87:F88)</f>
        <v>11860506.41</v>
      </c>
      <c r="G89" s="4"/>
    </row>
    <row r="90" spans="1:6" ht="15" customHeight="1">
      <c r="A90" s="117" t="s">
        <v>15</v>
      </c>
      <c r="B90" s="22">
        <v>91</v>
      </c>
      <c r="C90" s="58" t="s">
        <v>3</v>
      </c>
      <c r="D90" s="23">
        <v>100000</v>
      </c>
      <c r="E90" s="23">
        <v>100000</v>
      </c>
      <c r="F90" s="24">
        <v>100000</v>
      </c>
    </row>
    <row r="91" spans="1:6" ht="15" customHeight="1">
      <c r="A91" s="118"/>
      <c r="B91" s="51">
        <v>93</v>
      </c>
      <c r="C91" s="40" t="s">
        <v>51</v>
      </c>
      <c r="D91" s="27">
        <v>0</v>
      </c>
      <c r="E91" s="27">
        <v>5290000</v>
      </c>
      <c r="F91" s="28">
        <f>1176544.64+1008425.12+2133411.11+795265</f>
        <v>5113645.869999999</v>
      </c>
    </row>
    <row r="92" spans="1:6" ht="15" customHeight="1">
      <c r="A92" s="118"/>
      <c r="B92" s="51">
        <v>93</v>
      </c>
      <c r="C92" s="40" t="s">
        <v>69</v>
      </c>
      <c r="D92" s="27">
        <v>0</v>
      </c>
      <c r="E92" s="27">
        <v>3248000</v>
      </c>
      <c r="F92" s="28">
        <v>3218015.5</v>
      </c>
    </row>
    <row r="93" spans="1:6" ht="15" customHeight="1">
      <c r="A93" s="118"/>
      <c r="B93" s="51">
        <v>93</v>
      </c>
      <c r="C93" s="40" t="s">
        <v>115</v>
      </c>
      <c r="D93" s="27">
        <v>0</v>
      </c>
      <c r="E93" s="27">
        <v>856000</v>
      </c>
      <c r="F93" s="28">
        <v>855384.09</v>
      </c>
    </row>
    <row r="94" spans="1:6" ht="15" customHeight="1">
      <c r="A94" s="118"/>
      <c r="B94" s="25">
        <v>1355</v>
      </c>
      <c r="C94" s="44" t="s">
        <v>84</v>
      </c>
      <c r="D94" s="26">
        <v>0</v>
      </c>
      <c r="E94" s="27">
        <f>909000+457000</f>
        <v>1366000</v>
      </c>
      <c r="F94" s="28">
        <f>908991.8+457046.33</f>
        <v>1366038.1300000001</v>
      </c>
    </row>
    <row r="95" spans="1:6" ht="15" customHeight="1">
      <c r="A95" s="118"/>
      <c r="B95" s="25">
        <v>3111</v>
      </c>
      <c r="C95" s="26" t="s">
        <v>36</v>
      </c>
      <c r="D95" s="27">
        <v>74000</v>
      </c>
      <c r="E95" s="27">
        <v>74000</v>
      </c>
      <c r="F95" s="28">
        <v>74400</v>
      </c>
    </row>
    <row r="96" spans="1:6" ht="15" customHeight="1">
      <c r="A96" s="118"/>
      <c r="B96" s="30">
        <v>3637</v>
      </c>
      <c r="C96" s="29" t="s">
        <v>34</v>
      </c>
      <c r="D96" s="27">
        <v>0</v>
      </c>
      <c r="E96" s="27">
        <v>7000</v>
      </c>
      <c r="F96" s="28">
        <v>6294.2</v>
      </c>
    </row>
    <row r="97" spans="1:6" ht="15" customHeight="1" thickBot="1">
      <c r="A97" s="121"/>
      <c r="B97" s="137">
        <v>7100</v>
      </c>
      <c r="C97" s="131" t="s">
        <v>57</v>
      </c>
      <c r="D97" s="55">
        <v>0</v>
      </c>
      <c r="E97" s="55">
        <v>20000</v>
      </c>
      <c r="F97" s="79">
        <v>20000</v>
      </c>
    </row>
    <row r="98" spans="1:6" ht="15" customHeight="1">
      <c r="A98" s="118" t="s">
        <v>15</v>
      </c>
      <c r="B98" s="30">
        <v>7402</v>
      </c>
      <c r="C98" s="40" t="s">
        <v>58</v>
      </c>
      <c r="D98" s="27">
        <v>0</v>
      </c>
      <c r="E98" s="27">
        <v>370000</v>
      </c>
      <c r="F98" s="28">
        <v>370000</v>
      </c>
    </row>
    <row r="99" spans="1:6" ht="15" customHeight="1" thickBot="1">
      <c r="A99" s="118"/>
      <c r="B99" s="25">
        <v>7608</v>
      </c>
      <c r="C99" s="44" t="s">
        <v>62</v>
      </c>
      <c r="D99" s="26">
        <v>0</v>
      </c>
      <c r="E99" s="26">
        <v>100000</v>
      </c>
      <c r="F99" s="43">
        <v>100000</v>
      </c>
    </row>
    <row r="100" spans="1:6" ht="15" customHeight="1" thickBot="1" thickTop="1">
      <c r="A100" s="118"/>
      <c r="B100" s="68"/>
      <c r="C100" s="46" t="s">
        <v>6</v>
      </c>
      <c r="D100" s="32">
        <f>SUM(D90:D99)</f>
        <v>174000</v>
      </c>
      <c r="E100" s="32">
        <f>SUM(E90:E99)</f>
        <v>11431000</v>
      </c>
      <c r="F100" s="100">
        <f>SUM(F90:F99)</f>
        <v>11223777.79</v>
      </c>
    </row>
    <row r="101" spans="1:6" ht="15" customHeight="1" thickBot="1">
      <c r="A101" s="118"/>
      <c r="B101" s="67"/>
      <c r="C101" s="47" t="s">
        <v>5</v>
      </c>
      <c r="D101" s="36">
        <v>30946000</v>
      </c>
      <c r="E101" s="36">
        <v>30946000</v>
      </c>
      <c r="F101" s="97">
        <v>30946000</v>
      </c>
    </row>
    <row r="102" spans="1:7" ht="15" customHeight="1" thickBot="1">
      <c r="A102" s="120"/>
      <c r="B102" s="57"/>
      <c r="C102" s="39" t="s">
        <v>89</v>
      </c>
      <c r="D102" s="49">
        <f>SUM(D100:D101)</f>
        <v>31120000</v>
      </c>
      <c r="E102" s="39">
        <f>SUM(E100:E101)</f>
        <v>42377000</v>
      </c>
      <c r="F102" s="99">
        <f>SUM(F100:F101)</f>
        <v>42169777.79</v>
      </c>
      <c r="G102" s="4"/>
    </row>
    <row r="103" spans="1:6" ht="15" customHeight="1">
      <c r="A103" s="117" t="s">
        <v>16</v>
      </c>
      <c r="B103" s="23">
        <v>91</v>
      </c>
      <c r="C103" s="58" t="s">
        <v>3</v>
      </c>
      <c r="D103" s="23">
        <v>100000</v>
      </c>
      <c r="E103" s="23">
        <v>100000</v>
      </c>
      <c r="F103" s="24">
        <v>100000</v>
      </c>
    </row>
    <row r="104" spans="1:6" ht="15" customHeight="1">
      <c r="A104" s="118"/>
      <c r="B104" s="27">
        <v>93</v>
      </c>
      <c r="C104" s="40" t="s">
        <v>107</v>
      </c>
      <c r="D104" s="27">
        <v>0</v>
      </c>
      <c r="E104" s="27">
        <v>30000</v>
      </c>
      <c r="F104" s="28">
        <v>30000</v>
      </c>
    </row>
    <row r="105" spans="1:6" ht="15" customHeight="1">
      <c r="A105" s="118"/>
      <c r="B105" s="69">
        <v>1010</v>
      </c>
      <c r="C105" s="42" t="s">
        <v>47</v>
      </c>
      <c r="D105" s="26">
        <v>0</v>
      </c>
      <c r="E105" s="26">
        <v>99000</v>
      </c>
      <c r="F105" s="43">
        <v>99000</v>
      </c>
    </row>
    <row r="106" spans="1:6" ht="15" customHeight="1">
      <c r="A106" s="118"/>
      <c r="B106" s="25">
        <v>1355</v>
      </c>
      <c r="C106" s="44" t="s">
        <v>84</v>
      </c>
      <c r="D106" s="61">
        <v>0</v>
      </c>
      <c r="E106" s="72">
        <v>1000</v>
      </c>
      <c r="F106" s="73">
        <v>182.55</v>
      </c>
    </row>
    <row r="107" spans="1:6" ht="15" customHeight="1">
      <c r="A107" s="118"/>
      <c r="B107" s="70">
        <v>7090</v>
      </c>
      <c r="C107" s="71" t="s">
        <v>55</v>
      </c>
      <c r="D107" s="72">
        <v>0</v>
      </c>
      <c r="E107" s="72">
        <v>30000</v>
      </c>
      <c r="F107" s="73">
        <v>30000</v>
      </c>
    </row>
    <row r="108" spans="1:6" ht="15" customHeight="1">
      <c r="A108" s="118"/>
      <c r="B108" s="69">
        <v>7100</v>
      </c>
      <c r="C108" s="42" t="s">
        <v>56</v>
      </c>
      <c r="D108" s="26">
        <v>0</v>
      </c>
      <c r="E108" s="72">
        <v>20000</v>
      </c>
      <c r="F108" s="73">
        <v>20000</v>
      </c>
    </row>
    <row r="109" spans="1:6" ht="15" customHeight="1">
      <c r="A109" s="118"/>
      <c r="B109" s="30">
        <v>7402</v>
      </c>
      <c r="C109" s="27" t="s">
        <v>109</v>
      </c>
      <c r="D109" s="29">
        <v>0</v>
      </c>
      <c r="E109" s="72">
        <v>30000</v>
      </c>
      <c r="F109" s="73">
        <v>30000</v>
      </c>
    </row>
    <row r="110" spans="1:6" ht="15" customHeight="1" thickBot="1">
      <c r="A110" s="119"/>
      <c r="B110" s="74">
        <v>7402</v>
      </c>
      <c r="C110" s="75" t="s">
        <v>58</v>
      </c>
      <c r="D110" s="76">
        <v>0</v>
      </c>
      <c r="E110" s="77">
        <v>46000</v>
      </c>
      <c r="F110" s="78">
        <v>46000</v>
      </c>
    </row>
    <row r="111" spans="1:6" ht="15" customHeight="1" thickBot="1" thickTop="1">
      <c r="A111" s="118"/>
      <c r="B111" s="55"/>
      <c r="C111" s="102" t="s">
        <v>6</v>
      </c>
      <c r="D111" s="36">
        <f>SUM(D103:D110)</f>
        <v>100000</v>
      </c>
      <c r="E111" s="36">
        <f>SUM(E103:E110)</f>
        <v>356000</v>
      </c>
      <c r="F111" s="97">
        <f>SUM(F103:F110)</f>
        <v>355182.55</v>
      </c>
    </row>
    <row r="112" spans="1:6" ht="15" customHeight="1" thickBot="1">
      <c r="A112" s="118"/>
      <c r="B112" s="55"/>
      <c r="C112" s="103" t="s">
        <v>5</v>
      </c>
      <c r="D112" s="36">
        <v>22533000</v>
      </c>
      <c r="E112" s="36">
        <v>22533000</v>
      </c>
      <c r="F112" s="37">
        <v>22533000</v>
      </c>
    </row>
    <row r="113" spans="1:7" ht="15" customHeight="1" thickBot="1">
      <c r="A113" s="121"/>
      <c r="B113" s="80"/>
      <c r="C113" s="39" t="s">
        <v>89</v>
      </c>
      <c r="D113" s="49">
        <f>SUM(D111:D112)</f>
        <v>22633000</v>
      </c>
      <c r="E113" s="39">
        <f>SUM(E111:E112)</f>
        <v>22889000</v>
      </c>
      <c r="F113" s="99">
        <f>SUM(F111:F112)</f>
        <v>22888182.55</v>
      </c>
      <c r="G113" s="4"/>
    </row>
    <row r="114" spans="1:7" ht="15" customHeight="1">
      <c r="A114" s="118" t="s">
        <v>32</v>
      </c>
      <c r="B114" s="81">
        <v>93</v>
      </c>
      <c r="C114" s="82" t="s">
        <v>66</v>
      </c>
      <c r="D114" s="23">
        <v>0</v>
      </c>
      <c r="E114" s="23">
        <f>300000-11000</f>
        <v>289000</v>
      </c>
      <c r="F114" s="59">
        <f>26200+262239.91</f>
        <v>288439.91</v>
      </c>
      <c r="G114" s="4"/>
    </row>
    <row r="115" spans="1:7" ht="15" customHeight="1">
      <c r="A115" s="118"/>
      <c r="B115" s="25">
        <v>1355</v>
      </c>
      <c r="C115" s="44" t="s">
        <v>84</v>
      </c>
      <c r="D115" s="27">
        <v>0</v>
      </c>
      <c r="E115" s="27">
        <f>87000+70000</f>
        <v>157000</v>
      </c>
      <c r="F115" s="60">
        <f>86570.65+70008.24</f>
        <v>156578.89</v>
      </c>
      <c r="G115" s="4"/>
    </row>
    <row r="116" spans="1:7" ht="15" customHeight="1">
      <c r="A116" s="118"/>
      <c r="B116" s="83">
        <v>3637</v>
      </c>
      <c r="C116" s="29" t="s">
        <v>34</v>
      </c>
      <c r="D116" s="27">
        <v>0</v>
      </c>
      <c r="E116" s="27">
        <v>5000</v>
      </c>
      <c r="F116" s="60">
        <v>5000</v>
      </c>
      <c r="G116" s="4"/>
    </row>
    <row r="117" spans="1:7" ht="15" customHeight="1">
      <c r="A117" s="118"/>
      <c r="B117" s="30">
        <v>6402</v>
      </c>
      <c r="C117" s="29" t="s">
        <v>85</v>
      </c>
      <c r="D117" s="61">
        <v>0</v>
      </c>
      <c r="E117" s="61">
        <v>6000</v>
      </c>
      <c r="F117" s="84">
        <v>6158.96</v>
      </c>
      <c r="G117" s="4"/>
    </row>
    <row r="118" spans="1:7" ht="15" customHeight="1" thickBot="1">
      <c r="A118" s="118"/>
      <c r="B118" s="74">
        <v>7402</v>
      </c>
      <c r="C118" s="75" t="s">
        <v>58</v>
      </c>
      <c r="D118" s="76">
        <v>0</v>
      </c>
      <c r="E118" s="76">
        <v>28000</v>
      </c>
      <c r="F118" s="85">
        <v>28000</v>
      </c>
      <c r="G118" s="4"/>
    </row>
    <row r="119" spans="1:7" ht="15" customHeight="1" thickBot="1" thickTop="1">
      <c r="A119" s="118"/>
      <c r="B119" s="67"/>
      <c r="C119" s="48" t="s">
        <v>6</v>
      </c>
      <c r="D119" s="36">
        <f>SUM(D114:D118)</f>
        <v>0</v>
      </c>
      <c r="E119" s="36">
        <f>SUM(E114:E118)</f>
        <v>485000</v>
      </c>
      <c r="F119" s="97">
        <f>SUM(F114:F118)</f>
        <v>484177.76</v>
      </c>
      <c r="G119" s="4"/>
    </row>
    <row r="120" spans="1:7" ht="15" customHeight="1" thickBot="1">
      <c r="A120" s="118"/>
      <c r="B120" s="67"/>
      <c r="C120" s="48" t="s">
        <v>5</v>
      </c>
      <c r="D120" s="36">
        <v>4814000</v>
      </c>
      <c r="E120" s="36">
        <v>4814000</v>
      </c>
      <c r="F120" s="37">
        <v>4814000</v>
      </c>
      <c r="G120" s="4"/>
    </row>
    <row r="121" spans="1:7" ht="15" customHeight="1" thickBot="1">
      <c r="A121" s="118"/>
      <c r="B121" s="54"/>
      <c r="C121" s="39" t="s">
        <v>89</v>
      </c>
      <c r="D121" s="49">
        <f>SUM(D119:D120)</f>
        <v>4814000</v>
      </c>
      <c r="E121" s="39">
        <f>SUM(E119:E120)</f>
        <v>5299000</v>
      </c>
      <c r="F121" s="138">
        <f>SUM(F119:F120)</f>
        <v>5298177.76</v>
      </c>
      <c r="G121" s="4"/>
    </row>
    <row r="122" spans="1:6" ht="15" customHeight="1">
      <c r="A122" s="117" t="s">
        <v>17</v>
      </c>
      <c r="B122" s="22">
        <v>91</v>
      </c>
      <c r="C122" s="58" t="s">
        <v>3</v>
      </c>
      <c r="D122" s="23">
        <v>117000</v>
      </c>
      <c r="E122" s="23">
        <v>117000</v>
      </c>
      <c r="F122" s="24">
        <v>117000</v>
      </c>
    </row>
    <row r="123" spans="1:6" ht="15" customHeight="1">
      <c r="A123" s="118"/>
      <c r="B123" s="25">
        <v>1355</v>
      </c>
      <c r="C123" s="44" t="s">
        <v>84</v>
      </c>
      <c r="D123" s="27">
        <v>0</v>
      </c>
      <c r="E123" s="27">
        <f>1688000+1090000</f>
        <v>2778000</v>
      </c>
      <c r="F123" s="28">
        <f>1688127.63+1090558.42</f>
        <v>2778686.05</v>
      </c>
    </row>
    <row r="124" spans="1:6" ht="15" customHeight="1">
      <c r="A124" s="118"/>
      <c r="B124" s="25">
        <v>3111</v>
      </c>
      <c r="C124" s="44" t="s">
        <v>36</v>
      </c>
      <c r="D124" s="27">
        <v>166000</v>
      </c>
      <c r="E124" s="27">
        <v>166000</v>
      </c>
      <c r="F124" s="28">
        <v>165880</v>
      </c>
    </row>
    <row r="125" spans="1:6" ht="15" customHeight="1">
      <c r="A125" s="118"/>
      <c r="B125" s="30">
        <v>3637</v>
      </c>
      <c r="C125" s="29" t="s">
        <v>34</v>
      </c>
      <c r="D125" s="27">
        <v>0</v>
      </c>
      <c r="E125" s="27">
        <v>5000</v>
      </c>
      <c r="F125" s="28">
        <v>4071.87</v>
      </c>
    </row>
    <row r="126" spans="1:6" ht="15" customHeight="1">
      <c r="A126" s="118"/>
      <c r="B126" s="30">
        <v>6402</v>
      </c>
      <c r="C126" s="29" t="s">
        <v>85</v>
      </c>
      <c r="D126" s="27">
        <v>0</v>
      </c>
      <c r="E126" s="27">
        <v>1054000</v>
      </c>
      <c r="F126" s="28">
        <v>1053566.22</v>
      </c>
    </row>
    <row r="127" spans="1:6" ht="15" customHeight="1">
      <c r="A127" s="118"/>
      <c r="B127" s="30">
        <v>7402</v>
      </c>
      <c r="C127" s="29" t="s">
        <v>58</v>
      </c>
      <c r="D127" s="27">
        <v>0</v>
      </c>
      <c r="E127" s="27">
        <v>364000</v>
      </c>
      <c r="F127" s="28">
        <v>364000</v>
      </c>
    </row>
    <row r="128" spans="1:6" ht="15" customHeight="1">
      <c r="A128" s="118"/>
      <c r="B128" s="30">
        <v>7402</v>
      </c>
      <c r="C128" s="27" t="s">
        <v>109</v>
      </c>
      <c r="D128" s="29">
        <v>0</v>
      </c>
      <c r="E128" s="27">
        <v>46000</v>
      </c>
      <c r="F128" s="28">
        <v>46000</v>
      </c>
    </row>
    <row r="129" spans="1:6" ht="15" customHeight="1" thickBot="1">
      <c r="A129" s="121"/>
      <c r="B129" s="137">
        <v>7608</v>
      </c>
      <c r="C129" s="131" t="s">
        <v>38</v>
      </c>
      <c r="D129" s="132">
        <v>0</v>
      </c>
      <c r="E129" s="132">
        <v>30000</v>
      </c>
      <c r="F129" s="133">
        <f>29040-4840</f>
        <v>24200</v>
      </c>
    </row>
    <row r="130" spans="1:6" ht="15" customHeight="1" thickBot="1">
      <c r="A130" s="118" t="s">
        <v>17</v>
      </c>
      <c r="B130" s="30">
        <v>14032</v>
      </c>
      <c r="C130" s="29" t="s">
        <v>101</v>
      </c>
      <c r="D130" s="27">
        <v>0</v>
      </c>
      <c r="E130" s="27">
        <v>200000</v>
      </c>
      <c r="F130" s="28">
        <f>200000-47749.3</f>
        <v>152250.7</v>
      </c>
    </row>
    <row r="131" spans="1:6" ht="15" customHeight="1" thickBot="1" thickTop="1">
      <c r="A131" s="118"/>
      <c r="B131" s="68"/>
      <c r="C131" s="46" t="s">
        <v>6</v>
      </c>
      <c r="D131" s="32">
        <f>SUM(D122:D130)</f>
        <v>283000</v>
      </c>
      <c r="E131" s="32">
        <f>SUM(E122:E130)</f>
        <v>4760000</v>
      </c>
      <c r="F131" s="100">
        <f>SUM(F122:F130)</f>
        <v>4705654.84</v>
      </c>
    </row>
    <row r="132" spans="1:6" ht="15" customHeight="1" thickBot="1">
      <c r="A132" s="118"/>
      <c r="B132" s="67"/>
      <c r="C132" s="47" t="s">
        <v>5</v>
      </c>
      <c r="D132" s="36">
        <v>43478000</v>
      </c>
      <c r="E132" s="36">
        <v>43478000</v>
      </c>
      <c r="F132" s="97">
        <v>43478000</v>
      </c>
    </row>
    <row r="133" spans="1:7" ht="15" customHeight="1" thickBot="1">
      <c r="A133" s="120"/>
      <c r="B133" s="54"/>
      <c r="C133" s="39" t="s">
        <v>89</v>
      </c>
      <c r="D133" s="49">
        <f>SUM(D131:D132)</f>
        <v>43761000</v>
      </c>
      <c r="E133" s="39">
        <f>SUM(E131:E132)</f>
        <v>48238000</v>
      </c>
      <c r="F133" s="50">
        <f>SUM(F131:F132)</f>
        <v>48183654.84</v>
      </c>
      <c r="G133" s="12"/>
    </row>
    <row r="134" spans="1:6" ht="15" customHeight="1">
      <c r="A134" s="118" t="s">
        <v>18</v>
      </c>
      <c r="B134" s="51">
        <v>91</v>
      </c>
      <c r="C134" s="40" t="s">
        <v>3</v>
      </c>
      <c r="D134" s="27">
        <v>93000</v>
      </c>
      <c r="E134" s="27">
        <v>93000</v>
      </c>
      <c r="F134" s="60">
        <v>93000</v>
      </c>
    </row>
    <row r="135" spans="1:6" ht="15" customHeight="1">
      <c r="A135" s="118"/>
      <c r="B135" s="51">
        <v>93</v>
      </c>
      <c r="C135" s="40" t="s">
        <v>48</v>
      </c>
      <c r="D135" s="27">
        <v>0</v>
      </c>
      <c r="E135" s="26">
        <f>2517000+233000</f>
        <v>2750000</v>
      </c>
      <c r="F135" s="86">
        <f>1080636.74+1579954.21</f>
        <v>2660590.95</v>
      </c>
    </row>
    <row r="136" spans="1:6" ht="15" customHeight="1">
      <c r="A136" s="118"/>
      <c r="B136" s="51">
        <v>93</v>
      </c>
      <c r="C136" s="40" t="s">
        <v>79</v>
      </c>
      <c r="D136" s="27">
        <v>0</v>
      </c>
      <c r="E136" s="26">
        <f>480000-479000</f>
        <v>1000</v>
      </c>
      <c r="F136" s="86">
        <v>0</v>
      </c>
    </row>
    <row r="137" spans="1:6" ht="15" customHeight="1">
      <c r="A137" s="118"/>
      <c r="B137" s="51">
        <v>93</v>
      </c>
      <c r="C137" s="40" t="s">
        <v>105</v>
      </c>
      <c r="D137" s="26">
        <v>0</v>
      </c>
      <c r="E137" s="26">
        <f>7150000-2095000</f>
        <v>5055000</v>
      </c>
      <c r="F137" s="86">
        <f>1566961.37+30100+3456986.32</f>
        <v>5054047.6899999995</v>
      </c>
    </row>
    <row r="138" spans="1:6" ht="15" customHeight="1">
      <c r="A138" s="118"/>
      <c r="B138" s="30">
        <v>1030</v>
      </c>
      <c r="C138" s="40" t="s">
        <v>74</v>
      </c>
      <c r="D138" s="26">
        <v>0</v>
      </c>
      <c r="E138" s="26">
        <v>250000</v>
      </c>
      <c r="F138" s="86">
        <v>224976.35</v>
      </c>
    </row>
    <row r="139" spans="1:6" ht="15" customHeight="1">
      <c r="A139" s="118"/>
      <c r="B139" s="25">
        <v>1355</v>
      </c>
      <c r="C139" s="44" t="s">
        <v>84</v>
      </c>
      <c r="D139" s="27">
        <v>0</v>
      </c>
      <c r="E139" s="61">
        <v>1000</v>
      </c>
      <c r="F139" s="84">
        <v>365.1</v>
      </c>
    </row>
    <row r="140" spans="1:6" ht="15" customHeight="1" thickBot="1">
      <c r="A140" s="118"/>
      <c r="B140" s="25">
        <v>3111</v>
      </c>
      <c r="C140" s="44" t="s">
        <v>36</v>
      </c>
      <c r="D140" s="76">
        <v>5000</v>
      </c>
      <c r="E140" s="76">
        <v>5000</v>
      </c>
      <c r="F140" s="85">
        <v>5400</v>
      </c>
    </row>
    <row r="141" spans="1:6" ht="15" customHeight="1" thickBot="1" thickTop="1">
      <c r="A141" s="118"/>
      <c r="B141" s="52"/>
      <c r="C141" s="46" t="s">
        <v>6</v>
      </c>
      <c r="D141" s="36">
        <f>SUM(D134:D140)</f>
        <v>98000</v>
      </c>
      <c r="E141" s="36">
        <f>SUM(E134:E140)</f>
        <v>8155000</v>
      </c>
      <c r="F141" s="97">
        <f>SUM(F134:F140)</f>
        <v>8038380.089999999</v>
      </c>
    </row>
    <row r="142" spans="1:6" ht="15" customHeight="1" thickBot="1">
      <c r="A142" s="118"/>
      <c r="B142" s="54"/>
      <c r="C142" s="47" t="s">
        <v>5</v>
      </c>
      <c r="D142" s="36">
        <v>14884000</v>
      </c>
      <c r="E142" s="36">
        <v>14884000</v>
      </c>
      <c r="F142" s="97">
        <v>14884000</v>
      </c>
    </row>
    <row r="143" spans="1:6" ht="15" customHeight="1" thickBot="1">
      <c r="A143" s="121"/>
      <c r="B143" s="54"/>
      <c r="C143" s="39" t="s">
        <v>89</v>
      </c>
      <c r="D143" s="49">
        <f>SUM(D141:D142)</f>
        <v>14982000</v>
      </c>
      <c r="E143" s="39">
        <f>SUM(E141:E142)</f>
        <v>23039000</v>
      </c>
      <c r="F143" s="50">
        <f>SUM(F141:F142)</f>
        <v>22922380.09</v>
      </c>
    </row>
    <row r="144" spans="1:6" ht="15" customHeight="1">
      <c r="A144" s="117" t="s">
        <v>19</v>
      </c>
      <c r="B144" s="81">
        <v>91</v>
      </c>
      <c r="C144" s="82" t="s">
        <v>3</v>
      </c>
      <c r="D144" s="23">
        <v>30000</v>
      </c>
      <c r="E144" s="23">
        <v>30000</v>
      </c>
      <c r="F144" s="24">
        <v>30000</v>
      </c>
    </row>
    <row r="145" spans="1:6" ht="15" customHeight="1">
      <c r="A145" s="118"/>
      <c r="B145" s="30">
        <v>7102</v>
      </c>
      <c r="C145" s="29" t="s">
        <v>37</v>
      </c>
      <c r="D145" s="27">
        <v>0</v>
      </c>
      <c r="E145" s="27">
        <v>120000</v>
      </c>
      <c r="F145" s="28">
        <v>120000</v>
      </c>
    </row>
    <row r="146" spans="1:6" ht="15" customHeight="1">
      <c r="A146" s="118"/>
      <c r="B146" s="30">
        <v>7402</v>
      </c>
      <c r="C146" s="27" t="s">
        <v>109</v>
      </c>
      <c r="D146" s="29">
        <v>0</v>
      </c>
      <c r="E146" s="27">
        <v>30000</v>
      </c>
      <c r="F146" s="28">
        <v>30000</v>
      </c>
    </row>
    <row r="147" spans="1:6" ht="15" customHeight="1" thickBot="1">
      <c r="A147" s="118"/>
      <c r="B147" s="74">
        <v>7402</v>
      </c>
      <c r="C147" s="75" t="s">
        <v>58</v>
      </c>
      <c r="D147" s="72">
        <v>0</v>
      </c>
      <c r="E147" s="26">
        <v>50000</v>
      </c>
      <c r="F147" s="43">
        <v>50000</v>
      </c>
    </row>
    <row r="148" spans="1:6" ht="15" customHeight="1" thickBot="1" thickTop="1">
      <c r="A148" s="119"/>
      <c r="B148" s="87"/>
      <c r="C148" s="46" t="s">
        <v>6</v>
      </c>
      <c r="D148" s="32">
        <f>SUM(D144:D147)</f>
        <v>30000</v>
      </c>
      <c r="E148" s="32">
        <f>SUM(E144:E147)</f>
        <v>230000</v>
      </c>
      <c r="F148" s="100">
        <f>SUM(F144:F147)</f>
        <v>230000</v>
      </c>
    </row>
    <row r="149" spans="1:6" ht="15" customHeight="1" thickBot="1">
      <c r="A149" s="119"/>
      <c r="B149" s="54"/>
      <c r="C149" s="47" t="s">
        <v>5</v>
      </c>
      <c r="D149" s="36">
        <v>5260000</v>
      </c>
      <c r="E149" s="36">
        <v>5260000</v>
      </c>
      <c r="F149" s="97">
        <v>5260000</v>
      </c>
    </row>
    <row r="150" spans="1:7" ht="15" customHeight="1" thickBot="1">
      <c r="A150" s="120"/>
      <c r="B150" s="54"/>
      <c r="C150" s="39" t="s">
        <v>89</v>
      </c>
      <c r="D150" s="49">
        <f>SUM(D148:D149)</f>
        <v>5290000</v>
      </c>
      <c r="E150" s="39">
        <f>SUM(E148:E149)</f>
        <v>5490000</v>
      </c>
      <c r="F150" s="50">
        <f>SUM(F148:F149)</f>
        <v>5490000</v>
      </c>
      <c r="G150" s="12"/>
    </row>
    <row r="151" spans="1:6" ht="15" customHeight="1">
      <c r="A151" s="117" t="s">
        <v>20</v>
      </c>
      <c r="B151" s="22">
        <v>91</v>
      </c>
      <c r="C151" s="58" t="s">
        <v>3</v>
      </c>
      <c r="D151" s="23">
        <v>29000</v>
      </c>
      <c r="E151" s="23">
        <v>29000</v>
      </c>
      <c r="F151" s="24">
        <v>29000</v>
      </c>
    </row>
    <row r="152" spans="1:6" ht="15" customHeight="1">
      <c r="A152" s="118"/>
      <c r="B152" s="41">
        <v>93</v>
      </c>
      <c r="C152" s="40" t="s">
        <v>52</v>
      </c>
      <c r="D152" s="27">
        <v>0</v>
      </c>
      <c r="E152" s="27">
        <f>2000000+6241000</f>
        <v>8241000</v>
      </c>
      <c r="F152" s="28">
        <f>3233968.04+5007031.96</f>
        <v>8241000</v>
      </c>
    </row>
    <row r="153" spans="1:6" ht="15" customHeight="1">
      <c r="A153" s="118"/>
      <c r="B153" s="25">
        <v>1355</v>
      </c>
      <c r="C153" s="44" t="s">
        <v>84</v>
      </c>
      <c r="D153" s="27">
        <v>0</v>
      </c>
      <c r="E153" s="61">
        <v>1000</v>
      </c>
      <c r="F153" s="84">
        <v>60.85</v>
      </c>
    </row>
    <row r="154" spans="1:6" ht="15" customHeight="1" thickBot="1">
      <c r="A154" s="118"/>
      <c r="B154" s="25">
        <v>7102</v>
      </c>
      <c r="C154" s="44" t="s">
        <v>119</v>
      </c>
      <c r="D154" s="26">
        <v>0</v>
      </c>
      <c r="E154" s="26">
        <v>60000</v>
      </c>
      <c r="F154" s="43">
        <v>60000</v>
      </c>
    </row>
    <row r="155" spans="1:6" ht="15" customHeight="1" thickBot="1" thickTop="1">
      <c r="A155" s="119"/>
      <c r="B155" s="87"/>
      <c r="C155" s="46" t="s">
        <v>6</v>
      </c>
      <c r="D155" s="32">
        <f>SUM(D151:D154)</f>
        <v>29000</v>
      </c>
      <c r="E155" s="32">
        <f>SUM(E151:E154)</f>
        <v>8331000</v>
      </c>
      <c r="F155" s="100">
        <f>SUM(F151:F154)</f>
        <v>8330060.85</v>
      </c>
    </row>
    <row r="156" spans="1:6" ht="15" customHeight="1" thickBot="1">
      <c r="A156" s="119"/>
      <c r="B156" s="54"/>
      <c r="C156" s="47" t="s">
        <v>5</v>
      </c>
      <c r="D156" s="36">
        <v>9882000</v>
      </c>
      <c r="E156" s="36">
        <v>9882000</v>
      </c>
      <c r="F156" s="97">
        <v>9882000</v>
      </c>
    </row>
    <row r="157" spans="1:7" ht="15" customHeight="1" thickBot="1">
      <c r="A157" s="120"/>
      <c r="B157" s="54"/>
      <c r="C157" s="39" t="s">
        <v>89</v>
      </c>
      <c r="D157" s="49">
        <f>SUM(D155:D156)</f>
        <v>9911000</v>
      </c>
      <c r="E157" s="39">
        <f>SUM(E155:E156)</f>
        <v>18213000</v>
      </c>
      <c r="F157" s="50">
        <f>SUM(F155:F156)</f>
        <v>18212060.85</v>
      </c>
      <c r="G157" s="12"/>
    </row>
    <row r="158" spans="1:7" ht="15" customHeight="1">
      <c r="A158" s="117" t="s">
        <v>21</v>
      </c>
      <c r="B158" s="81">
        <v>93</v>
      </c>
      <c r="C158" s="82" t="s">
        <v>81</v>
      </c>
      <c r="D158" s="23">
        <v>0</v>
      </c>
      <c r="E158" s="23">
        <v>11000</v>
      </c>
      <c r="F158" s="59">
        <v>10127</v>
      </c>
      <c r="G158" s="12"/>
    </row>
    <row r="159" spans="1:7" ht="15" customHeight="1">
      <c r="A159" s="118"/>
      <c r="B159" s="83">
        <v>93</v>
      </c>
      <c r="C159" s="29" t="s">
        <v>97</v>
      </c>
      <c r="D159" s="27">
        <v>0</v>
      </c>
      <c r="E159" s="27">
        <f>140000-140000</f>
        <v>0</v>
      </c>
      <c r="F159" s="60">
        <v>0</v>
      </c>
      <c r="G159" s="12"/>
    </row>
    <row r="160" spans="1:7" ht="15" customHeight="1">
      <c r="A160" s="118"/>
      <c r="B160" s="83">
        <v>93</v>
      </c>
      <c r="C160" s="29" t="s">
        <v>99</v>
      </c>
      <c r="D160" s="27">
        <v>0</v>
      </c>
      <c r="E160" s="27">
        <v>214000</v>
      </c>
      <c r="F160" s="60">
        <v>213494.7</v>
      </c>
      <c r="G160" s="12"/>
    </row>
    <row r="161" spans="1:7" ht="15" customHeight="1" thickBot="1">
      <c r="A161" s="121"/>
      <c r="B161" s="80">
        <v>93</v>
      </c>
      <c r="C161" s="142" t="s">
        <v>100</v>
      </c>
      <c r="D161" s="55">
        <v>0</v>
      </c>
      <c r="E161" s="55">
        <v>576000</v>
      </c>
      <c r="F161" s="56">
        <v>559217</v>
      </c>
      <c r="G161" s="12"/>
    </row>
    <row r="162" spans="1:7" ht="15" customHeight="1">
      <c r="A162" s="118" t="s">
        <v>21</v>
      </c>
      <c r="B162" s="30">
        <v>1030</v>
      </c>
      <c r="C162" s="29" t="s">
        <v>75</v>
      </c>
      <c r="D162" s="27">
        <v>0</v>
      </c>
      <c r="E162" s="27">
        <v>393000</v>
      </c>
      <c r="F162" s="60">
        <v>388103.75</v>
      </c>
      <c r="G162" s="12"/>
    </row>
    <row r="163" spans="1:7" ht="15" customHeight="1">
      <c r="A163" s="118"/>
      <c r="B163" s="25">
        <v>3637</v>
      </c>
      <c r="C163" s="44" t="s">
        <v>34</v>
      </c>
      <c r="D163" s="26">
        <v>0</v>
      </c>
      <c r="E163" s="26">
        <v>6000</v>
      </c>
      <c r="F163" s="86">
        <v>5400</v>
      </c>
      <c r="G163" s="12"/>
    </row>
    <row r="164" spans="1:7" ht="15" customHeight="1" thickBot="1">
      <c r="A164" s="118"/>
      <c r="B164" s="63">
        <v>6402</v>
      </c>
      <c r="C164" s="64" t="s">
        <v>85</v>
      </c>
      <c r="D164" s="65">
        <v>0</v>
      </c>
      <c r="E164" s="65">
        <v>2000</v>
      </c>
      <c r="F164" s="139">
        <v>1678.79</v>
      </c>
      <c r="G164" s="12"/>
    </row>
    <row r="165" spans="1:7" ht="15" customHeight="1" thickBot="1" thickTop="1">
      <c r="A165" s="118"/>
      <c r="B165" s="67"/>
      <c r="C165" s="48" t="s">
        <v>6</v>
      </c>
      <c r="D165" s="36">
        <f>SUM(D158:D164)</f>
        <v>0</v>
      </c>
      <c r="E165" s="36">
        <f>SUM(E158:E164)</f>
        <v>1202000</v>
      </c>
      <c r="F165" s="97">
        <f>SUM(F158:F164)</f>
        <v>1178021.24</v>
      </c>
      <c r="G165" s="12"/>
    </row>
    <row r="166" spans="1:7" ht="15" customHeight="1" thickBot="1">
      <c r="A166" s="118"/>
      <c r="B166" s="140"/>
      <c r="C166" s="104" t="s">
        <v>5</v>
      </c>
      <c r="D166" s="105">
        <v>6185000</v>
      </c>
      <c r="E166" s="105">
        <v>6185000</v>
      </c>
      <c r="F166" s="106">
        <v>6185000</v>
      </c>
      <c r="G166" s="12"/>
    </row>
    <row r="167" spans="1:6" ht="15" customHeight="1" thickBot="1">
      <c r="A167" s="121"/>
      <c r="B167" s="54"/>
      <c r="C167" s="39" t="s">
        <v>89</v>
      </c>
      <c r="D167" s="49">
        <f>SUM(D165:D166)</f>
        <v>6185000</v>
      </c>
      <c r="E167" s="39">
        <f>SUM(E165:E166)</f>
        <v>7387000</v>
      </c>
      <c r="F167" s="50">
        <f>SUM(F165:F166)</f>
        <v>7363021.24</v>
      </c>
    </row>
    <row r="168" spans="1:6" ht="15" customHeight="1">
      <c r="A168" s="117" t="s">
        <v>22</v>
      </c>
      <c r="B168" s="22">
        <v>91</v>
      </c>
      <c r="C168" s="58" t="s">
        <v>3</v>
      </c>
      <c r="D168" s="23">
        <v>42000</v>
      </c>
      <c r="E168" s="23">
        <v>42000</v>
      </c>
      <c r="F168" s="24">
        <v>42000</v>
      </c>
    </row>
    <row r="169" spans="1:6" ht="15" customHeight="1">
      <c r="A169" s="118"/>
      <c r="B169" s="26">
        <v>93</v>
      </c>
      <c r="C169" s="42" t="s">
        <v>103</v>
      </c>
      <c r="D169" s="26">
        <v>0</v>
      </c>
      <c r="E169" s="26">
        <f>125000+23000</f>
        <v>148000</v>
      </c>
      <c r="F169" s="43">
        <v>147200</v>
      </c>
    </row>
    <row r="170" spans="1:6" ht="15" customHeight="1">
      <c r="A170" s="118"/>
      <c r="B170" s="25">
        <v>1355</v>
      </c>
      <c r="C170" s="44" t="s">
        <v>84</v>
      </c>
      <c r="D170" s="27">
        <v>0</v>
      </c>
      <c r="E170" s="26">
        <v>1000</v>
      </c>
      <c r="F170" s="86">
        <v>30.42</v>
      </c>
    </row>
    <row r="171" spans="1:6" ht="15" customHeight="1">
      <c r="A171" s="118"/>
      <c r="B171" s="30">
        <v>7402</v>
      </c>
      <c r="C171" s="27" t="s">
        <v>109</v>
      </c>
      <c r="D171" s="29">
        <v>0</v>
      </c>
      <c r="E171" s="27">
        <v>30000</v>
      </c>
      <c r="F171" s="28">
        <v>30000</v>
      </c>
    </row>
    <row r="172" spans="1:6" ht="15" customHeight="1" thickBot="1">
      <c r="A172" s="118"/>
      <c r="B172" s="74">
        <v>7402</v>
      </c>
      <c r="C172" s="75" t="s">
        <v>58</v>
      </c>
      <c r="D172" s="61">
        <v>0</v>
      </c>
      <c r="E172" s="61">
        <v>36000</v>
      </c>
      <c r="F172" s="62">
        <v>36000</v>
      </c>
    </row>
    <row r="173" spans="1:6" ht="15" customHeight="1" thickBot="1" thickTop="1">
      <c r="A173" s="119"/>
      <c r="B173" s="53"/>
      <c r="C173" s="46" t="s">
        <v>6</v>
      </c>
      <c r="D173" s="32">
        <f>SUM(D168:D172)</f>
        <v>42000</v>
      </c>
      <c r="E173" s="32">
        <f>SUM(E168:E172)</f>
        <v>257000</v>
      </c>
      <c r="F173" s="100">
        <f>SUM(F168:F172)</f>
        <v>255230.42</v>
      </c>
    </row>
    <row r="174" spans="1:6" ht="15" customHeight="1" thickBot="1">
      <c r="A174" s="119"/>
      <c r="B174" s="67"/>
      <c r="C174" s="104" t="s">
        <v>5</v>
      </c>
      <c r="D174" s="36">
        <v>6894000</v>
      </c>
      <c r="E174" s="36">
        <v>6894000</v>
      </c>
      <c r="F174" s="97">
        <v>6894000</v>
      </c>
    </row>
    <row r="175" spans="1:6" ht="15" customHeight="1" thickBot="1">
      <c r="A175" s="119"/>
      <c r="B175" s="54"/>
      <c r="C175" s="39" t="s">
        <v>89</v>
      </c>
      <c r="D175" s="49">
        <f>SUM(D173:D174)</f>
        <v>6936000</v>
      </c>
      <c r="E175" s="39">
        <f>SUM(E173:E174)</f>
        <v>7151000</v>
      </c>
      <c r="F175" s="50">
        <f>SUM(F173:F174)</f>
        <v>7149230.42</v>
      </c>
    </row>
    <row r="176" spans="1:6" ht="15" customHeight="1">
      <c r="A176" s="117" t="s">
        <v>23</v>
      </c>
      <c r="B176" s="22">
        <v>91</v>
      </c>
      <c r="C176" s="58" t="s">
        <v>3</v>
      </c>
      <c r="D176" s="23">
        <v>78000</v>
      </c>
      <c r="E176" s="23">
        <v>78000</v>
      </c>
      <c r="F176" s="24">
        <v>78000</v>
      </c>
    </row>
    <row r="177" spans="1:6" ht="15" customHeight="1">
      <c r="A177" s="118"/>
      <c r="B177" s="51">
        <v>93</v>
      </c>
      <c r="C177" s="40" t="s">
        <v>117</v>
      </c>
      <c r="D177" s="27">
        <v>0</v>
      </c>
      <c r="E177" s="27">
        <v>1817000</v>
      </c>
      <c r="F177" s="28">
        <v>1817000</v>
      </c>
    </row>
    <row r="178" spans="1:6" ht="15" customHeight="1">
      <c r="A178" s="118"/>
      <c r="B178" s="25">
        <v>1030</v>
      </c>
      <c r="C178" s="40" t="s">
        <v>102</v>
      </c>
      <c r="D178" s="27">
        <v>0</v>
      </c>
      <c r="E178" s="27">
        <v>582000</v>
      </c>
      <c r="F178" s="28">
        <v>581732</v>
      </c>
    </row>
    <row r="179" spans="1:6" ht="15" customHeight="1">
      <c r="A179" s="118"/>
      <c r="B179" s="25">
        <v>1355</v>
      </c>
      <c r="C179" s="44" t="s">
        <v>84</v>
      </c>
      <c r="D179" s="27">
        <v>0</v>
      </c>
      <c r="E179" s="27">
        <f>736000+1082000</f>
        <v>1818000</v>
      </c>
      <c r="F179" s="28">
        <f>735850.5+1082374.13</f>
        <v>1818224.63</v>
      </c>
    </row>
    <row r="180" spans="1:6" ht="15" customHeight="1">
      <c r="A180" s="118"/>
      <c r="B180" s="25">
        <v>3111</v>
      </c>
      <c r="C180" s="44" t="s">
        <v>36</v>
      </c>
      <c r="D180" s="27">
        <v>12000</v>
      </c>
      <c r="E180" s="27">
        <v>12000</v>
      </c>
      <c r="F180" s="28">
        <v>11700</v>
      </c>
    </row>
    <row r="181" spans="1:6" ht="15" customHeight="1">
      <c r="A181" s="118"/>
      <c r="B181" s="30">
        <v>6402</v>
      </c>
      <c r="C181" s="29" t="s">
        <v>85</v>
      </c>
      <c r="D181" s="27">
        <v>0</v>
      </c>
      <c r="E181" s="27">
        <v>4000</v>
      </c>
      <c r="F181" s="28">
        <v>3577.53</v>
      </c>
    </row>
    <row r="182" spans="1:6" ht="15" customHeight="1">
      <c r="A182" s="118"/>
      <c r="B182" s="25">
        <v>7102</v>
      </c>
      <c r="C182" s="42" t="s">
        <v>39</v>
      </c>
      <c r="D182" s="27">
        <v>0</v>
      </c>
      <c r="E182" s="27">
        <v>350000</v>
      </c>
      <c r="F182" s="28">
        <v>350000</v>
      </c>
    </row>
    <row r="183" spans="1:6" ht="15" customHeight="1">
      <c r="A183" s="118"/>
      <c r="B183" s="69">
        <v>7402</v>
      </c>
      <c r="C183" s="41" t="s">
        <v>58</v>
      </c>
      <c r="D183" s="26">
        <v>0</v>
      </c>
      <c r="E183" s="26">
        <v>206000</v>
      </c>
      <c r="F183" s="43">
        <v>206000</v>
      </c>
    </row>
    <row r="184" spans="1:6" ht="15" customHeight="1">
      <c r="A184" s="118"/>
      <c r="B184" s="30">
        <v>7402</v>
      </c>
      <c r="C184" s="27" t="s">
        <v>109</v>
      </c>
      <c r="D184" s="29">
        <v>0</v>
      </c>
      <c r="E184" s="26">
        <v>60000</v>
      </c>
      <c r="F184" s="43">
        <v>60000</v>
      </c>
    </row>
    <row r="185" spans="1:6" ht="15" customHeight="1" thickBot="1">
      <c r="A185" s="118"/>
      <c r="B185" s="125">
        <v>14032</v>
      </c>
      <c r="C185" s="29" t="s">
        <v>101</v>
      </c>
      <c r="D185" s="26">
        <v>0</v>
      </c>
      <c r="E185" s="26">
        <f>200000-200000</f>
        <v>0</v>
      </c>
      <c r="F185" s="43">
        <f>200000-200000</f>
        <v>0</v>
      </c>
    </row>
    <row r="186" spans="1:6" ht="15" customHeight="1" thickBot="1" thickTop="1">
      <c r="A186" s="118"/>
      <c r="B186" s="52"/>
      <c r="C186" s="46" t="s">
        <v>6</v>
      </c>
      <c r="D186" s="32">
        <f>SUM(D176:D185)</f>
        <v>90000</v>
      </c>
      <c r="E186" s="32">
        <f>SUM(E176:E185)</f>
        <v>4927000</v>
      </c>
      <c r="F186" s="33">
        <f>SUM(F176:F185)</f>
        <v>4926234.16</v>
      </c>
    </row>
    <row r="187" spans="1:6" ht="15" customHeight="1" thickBot="1">
      <c r="A187" s="118"/>
      <c r="B187" s="54"/>
      <c r="C187" s="47" t="s">
        <v>5</v>
      </c>
      <c r="D187" s="36">
        <v>15223000</v>
      </c>
      <c r="E187" s="36">
        <v>15223000</v>
      </c>
      <c r="F187" s="97">
        <v>15223000</v>
      </c>
    </row>
    <row r="188" spans="1:7" ht="15" customHeight="1" thickBot="1">
      <c r="A188" s="120"/>
      <c r="B188" s="67"/>
      <c r="C188" s="39" t="s">
        <v>89</v>
      </c>
      <c r="D188" s="49">
        <f>SUM(D186:D187)</f>
        <v>15313000</v>
      </c>
      <c r="E188" s="39">
        <f>SUM(E186:E187)</f>
        <v>20150000</v>
      </c>
      <c r="F188" s="50">
        <f>SUM(F186:F187)</f>
        <v>20149234.16</v>
      </c>
      <c r="G188" s="12"/>
    </row>
    <row r="189" spans="1:6" ht="15" customHeight="1">
      <c r="A189" s="117" t="s">
        <v>24</v>
      </c>
      <c r="B189" s="22">
        <v>91</v>
      </c>
      <c r="C189" s="82" t="s">
        <v>3</v>
      </c>
      <c r="D189" s="23">
        <v>115000</v>
      </c>
      <c r="E189" s="23">
        <v>115000</v>
      </c>
      <c r="F189" s="59">
        <v>115000</v>
      </c>
    </row>
    <row r="190" spans="1:6" ht="15" customHeight="1">
      <c r="A190" s="118"/>
      <c r="B190" s="51">
        <v>93</v>
      </c>
      <c r="C190" s="29" t="s">
        <v>78</v>
      </c>
      <c r="D190" s="27">
        <v>0</v>
      </c>
      <c r="E190" s="27">
        <v>3000000</v>
      </c>
      <c r="F190" s="60">
        <f>618340.39+752284.7+1629374.91</f>
        <v>3000000</v>
      </c>
    </row>
    <row r="191" spans="1:6" ht="15" customHeight="1">
      <c r="A191" s="118"/>
      <c r="B191" s="51">
        <v>93</v>
      </c>
      <c r="C191" s="29" t="s">
        <v>104</v>
      </c>
      <c r="D191" s="27">
        <v>0</v>
      </c>
      <c r="E191" s="27">
        <v>67000</v>
      </c>
      <c r="F191" s="60">
        <v>66800</v>
      </c>
    </row>
    <row r="192" spans="1:6" ht="15" customHeight="1">
      <c r="A192" s="118"/>
      <c r="B192" s="51">
        <v>93</v>
      </c>
      <c r="C192" s="40" t="s">
        <v>111</v>
      </c>
      <c r="D192" s="27">
        <v>0</v>
      </c>
      <c r="E192" s="27">
        <v>81000</v>
      </c>
      <c r="F192" s="28">
        <v>80815</v>
      </c>
    </row>
    <row r="193" spans="1:6" ht="15" customHeight="1" thickBot="1">
      <c r="A193" s="121"/>
      <c r="B193" s="55">
        <v>93</v>
      </c>
      <c r="C193" s="136" t="s">
        <v>107</v>
      </c>
      <c r="D193" s="55">
        <v>0</v>
      </c>
      <c r="E193" s="55">
        <v>30000</v>
      </c>
      <c r="F193" s="79">
        <v>30000</v>
      </c>
    </row>
    <row r="194" spans="1:6" ht="15" customHeight="1">
      <c r="A194" s="118" t="s">
        <v>24</v>
      </c>
      <c r="B194" s="51">
        <v>211</v>
      </c>
      <c r="C194" s="40" t="s">
        <v>113</v>
      </c>
      <c r="D194" s="27">
        <v>0</v>
      </c>
      <c r="E194" s="27">
        <v>100000</v>
      </c>
      <c r="F194" s="28">
        <v>100000</v>
      </c>
    </row>
    <row r="195" spans="1:6" ht="15" customHeight="1">
      <c r="A195" s="118"/>
      <c r="B195" s="30">
        <v>1010</v>
      </c>
      <c r="C195" s="29" t="s">
        <v>49</v>
      </c>
      <c r="D195" s="27">
        <v>0</v>
      </c>
      <c r="E195" s="27">
        <f>691000-372000</f>
        <v>319000</v>
      </c>
      <c r="F195" s="60">
        <f>637900-318950</f>
        <v>318950</v>
      </c>
    </row>
    <row r="196" spans="1:6" ht="15" customHeight="1">
      <c r="A196" s="118"/>
      <c r="B196" s="69">
        <v>1030</v>
      </c>
      <c r="C196" s="44" t="s">
        <v>54</v>
      </c>
      <c r="D196" s="26">
        <v>0</v>
      </c>
      <c r="E196" s="26">
        <f>1764000-134000</f>
        <v>1630000</v>
      </c>
      <c r="F196" s="86">
        <f>296598.71+670454.09+141237.25+405679.28+15247.79</f>
        <v>1529217.12</v>
      </c>
    </row>
    <row r="197" spans="1:6" ht="15" customHeight="1">
      <c r="A197" s="118"/>
      <c r="B197" s="30">
        <v>1030</v>
      </c>
      <c r="C197" s="29" t="s">
        <v>60</v>
      </c>
      <c r="D197" s="27">
        <v>0</v>
      </c>
      <c r="E197" s="27">
        <v>450000</v>
      </c>
      <c r="F197" s="60">
        <f>37875+6000</f>
        <v>43875</v>
      </c>
    </row>
    <row r="198" spans="1:6" ht="15" customHeight="1">
      <c r="A198" s="118"/>
      <c r="B198" s="30">
        <v>1030</v>
      </c>
      <c r="C198" s="29" t="s">
        <v>61</v>
      </c>
      <c r="D198" s="27">
        <v>0</v>
      </c>
      <c r="E198" s="27">
        <f>1279000+141000</f>
        <v>1420000</v>
      </c>
      <c r="F198" s="60">
        <f>327808.7+460022.12+590396.25</f>
        <v>1378227.07</v>
      </c>
    </row>
    <row r="199" spans="1:6" ht="15" customHeight="1">
      <c r="A199" s="118"/>
      <c r="B199" s="25">
        <v>1355</v>
      </c>
      <c r="C199" s="44" t="s">
        <v>84</v>
      </c>
      <c r="D199" s="27">
        <v>0</v>
      </c>
      <c r="E199" s="27">
        <f>1385000+699000</f>
        <v>2084000</v>
      </c>
      <c r="F199" s="60">
        <f>1385130.36+698682.77</f>
        <v>2083813.1300000001</v>
      </c>
    </row>
    <row r="200" spans="1:6" ht="15" customHeight="1">
      <c r="A200" s="118"/>
      <c r="B200" s="25">
        <v>3111</v>
      </c>
      <c r="C200" s="44" t="s">
        <v>36</v>
      </c>
      <c r="D200" s="26">
        <v>14000</v>
      </c>
      <c r="E200" s="26">
        <v>14000</v>
      </c>
      <c r="F200" s="86">
        <v>14400</v>
      </c>
    </row>
    <row r="201" spans="1:6" ht="15" customHeight="1">
      <c r="A201" s="118"/>
      <c r="B201" s="30">
        <v>6330</v>
      </c>
      <c r="C201" s="29" t="s">
        <v>42</v>
      </c>
      <c r="D201" s="27">
        <v>2412000</v>
      </c>
      <c r="E201" s="27">
        <v>2412000</v>
      </c>
      <c r="F201" s="60">
        <f>417972.72+1568076.12</f>
        <v>1986048.84</v>
      </c>
    </row>
    <row r="202" spans="1:6" ht="15" customHeight="1">
      <c r="A202" s="118"/>
      <c r="B202" s="30">
        <v>7402</v>
      </c>
      <c r="C202" s="27" t="s">
        <v>109</v>
      </c>
      <c r="D202" s="29">
        <v>0</v>
      </c>
      <c r="E202" s="27">
        <v>30000</v>
      </c>
      <c r="F202" s="60">
        <v>30000</v>
      </c>
    </row>
    <row r="203" spans="1:6" ht="15" customHeight="1" thickBot="1">
      <c r="A203" s="118"/>
      <c r="B203" s="141">
        <v>7402</v>
      </c>
      <c r="C203" s="75" t="s">
        <v>58</v>
      </c>
      <c r="D203" s="61">
        <v>0</v>
      </c>
      <c r="E203" s="27">
        <v>198000</v>
      </c>
      <c r="F203" s="60">
        <v>198000</v>
      </c>
    </row>
    <row r="204" spans="1:6" ht="15" customHeight="1" thickBot="1" thickTop="1">
      <c r="A204" s="119"/>
      <c r="B204" s="68"/>
      <c r="C204" s="46" t="s">
        <v>6</v>
      </c>
      <c r="D204" s="32">
        <f>SUM(D189:D203)</f>
        <v>2541000</v>
      </c>
      <c r="E204" s="32">
        <f>SUM(E189:E203)</f>
        <v>11950000</v>
      </c>
      <c r="F204" s="100">
        <f>SUM(F189:F203)</f>
        <v>10975146.16</v>
      </c>
    </row>
    <row r="205" spans="1:6" ht="15" customHeight="1" thickBot="1">
      <c r="A205" s="119"/>
      <c r="B205" s="67"/>
      <c r="C205" s="47" t="s">
        <v>5</v>
      </c>
      <c r="D205" s="36">
        <v>33243000</v>
      </c>
      <c r="E205" s="36">
        <v>33243000</v>
      </c>
      <c r="F205" s="97">
        <v>33243000</v>
      </c>
    </row>
    <row r="206" spans="1:7" ht="15" customHeight="1" thickBot="1">
      <c r="A206" s="120"/>
      <c r="B206" s="67"/>
      <c r="C206" s="39" t="s">
        <v>89</v>
      </c>
      <c r="D206" s="49">
        <f>SUM(D204:D205)</f>
        <v>35784000</v>
      </c>
      <c r="E206" s="39">
        <f>SUM(E204:E205)</f>
        <v>45193000</v>
      </c>
      <c r="F206" s="50">
        <f>SUM(F204:F205)</f>
        <v>44218146.16</v>
      </c>
      <c r="G206" s="12"/>
    </row>
    <row r="207" spans="1:6" ht="15" customHeight="1">
      <c r="A207" s="117" t="s">
        <v>25</v>
      </c>
      <c r="B207" s="22">
        <v>91</v>
      </c>
      <c r="C207" s="58" t="s">
        <v>3</v>
      </c>
      <c r="D207" s="23">
        <v>55000</v>
      </c>
      <c r="E207" s="23">
        <v>55000</v>
      </c>
      <c r="F207" s="24">
        <v>55000</v>
      </c>
    </row>
    <row r="208" spans="1:6" ht="15" customHeight="1">
      <c r="A208" s="118"/>
      <c r="B208" s="51">
        <v>93</v>
      </c>
      <c r="C208" s="40" t="s">
        <v>53</v>
      </c>
      <c r="D208" s="27">
        <v>0</v>
      </c>
      <c r="E208" s="27">
        <f>2437000-1396000</f>
        <v>1041000</v>
      </c>
      <c r="F208" s="28">
        <v>1032847.35</v>
      </c>
    </row>
    <row r="209" spans="1:6" ht="15" customHeight="1">
      <c r="A209" s="118"/>
      <c r="B209" s="69">
        <v>1355</v>
      </c>
      <c r="C209" s="44" t="s">
        <v>84</v>
      </c>
      <c r="D209" s="27">
        <v>0</v>
      </c>
      <c r="E209" s="27">
        <v>593000</v>
      </c>
      <c r="F209" s="28">
        <v>593350.95</v>
      </c>
    </row>
    <row r="210" spans="1:6" ht="15" customHeight="1">
      <c r="A210" s="118"/>
      <c r="B210" s="25">
        <v>3111</v>
      </c>
      <c r="C210" s="40" t="s">
        <v>36</v>
      </c>
      <c r="D210" s="27">
        <v>2000</v>
      </c>
      <c r="E210" s="27">
        <v>2000</v>
      </c>
      <c r="F210" s="28">
        <v>1660</v>
      </c>
    </row>
    <row r="211" spans="1:6" ht="15" customHeight="1" thickBot="1">
      <c r="A211" s="118"/>
      <c r="B211" s="74">
        <v>7402</v>
      </c>
      <c r="C211" s="75" t="s">
        <v>59</v>
      </c>
      <c r="D211" s="72">
        <v>0</v>
      </c>
      <c r="E211" s="26">
        <v>42000</v>
      </c>
      <c r="F211" s="43">
        <v>42000</v>
      </c>
    </row>
    <row r="212" spans="1:6" ht="15" customHeight="1" thickBot="1" thickTop="1">
      <c r="A212" s="119"/>
      <c r="B212" s="53"/>
      <c r="C212" s="46" t="s">
        <v>6</v>
      </c>
      <c r="D212" s="32">
        <f>SUM(D207:D211)</f>
        <v>57000</v>
      </c>
      <c r="E212" s="32">
        <f>SUM(E207:E211)</f>
        <v>1733000</v>
      </c>
      <c r="F212" s="100">
        <f>SUM(F207:F211)</f>
        <v>1724858.3</v>
      </c>
    </row>
    <row r="213" spans="1:6" ht="15" customHeight="1" thickBot="1">
      <c r="A213" s="119"/>
      <c r="B213" s="67"/>
      <c r="C213" s="47" t="s">
        <v>5</v>
      </c>
      <c r="D213" s="36">
        <v>12492000</v>
      </c>
      <c r="E213" s="36">
        <v>12492000</v>
      </c>
      <c r="F213" s="97">
        <v>12492000</v>
      </c>
    </row>
    <row r="214" spans="1:7" ht="15" customHeight="1" thickBot="1">
      <c r="A214" s="120"/>
      <c r="B214" s="57"/>
      <c r="C214" s="39" t="s">
        <v>89</v>
      </c>
      <c r="D214" s="49">
        <f>SUM(D212:D213)</f>
        <v>12549000</v>
      </c>
      <c r="E214" s="39">
        <f>SUM(E212:E213)</f>
        <v>14225000</v>
      </c>
      <c r="F214" s="50">
        <f>SUM(F212:F213)</f>
        <v>14216858.3</v>
      </c>
      <c r="G214" s="12"/>
    </row>
    <row r="215" spans="1:6" ht="15" customHeight="1">
      <c r="A215" s="122" t="s">
        <v>26</v>
      </c>
      <c r="B215" s="81">
        <v>3637</v>
      </c>
      <c r="C215" s="82" t="s">
        <v>34</v>
      </c>
      <c r="D215" s="23">
        <v>0</v>
      </c>
      <c r="E215" s="23">
        <v>5000</v>
      </c>
      <c r="F215" s="59">
        <v>5000</v>
      </c>
    </row>
    <row r="216" spans="1:6" ht="15" customHeight="1">
      <c r="A216" s="123"/>
      <c r="B216" s="69">
        <v>1355</v>
      </c>
      <c r="C216" s="44" t="s">
        <v>84</v>
      </c>
      <c r="D216" s="26">
        <v>0</v>
      </c>
      <c r="E216" s="26">
        <f>1428000+1326000</f>
        <v>2754000</v>
      </c>
      <c r="F216" s="86">
        <f>1428415.69+1326170.73</f>
        <v>2754586.42</v>
      </c>
    </row>
    <row r="217" spans="1:6" ht="15" customHeight="1" thickBot="1">
      <c r="A217" s="123"/>
      <c r="B217" s="74">
        <v>6402</v>
      </c>
      <c r="C217" s="88" t="s">
        <v>85</v>
      </c>
      <c r="D217" s="76">
        <v>0</v>
      </c>
      <c r="E217" s="76">
        <v>22000</v>
      </c>
      <c r="F217" s="85">
        <v>21389.73</v>
      </c>
    </row>
    <row r="218" spans="1:6" ht="15" customHeight="1" thickBot="1" thickTop="1">
      <c r="A218" s="123"/>
      <c r="B218" s="55"/>
      <c r="C218" s="48" t="s">
        <v>6</v>
      </c>
      <c r="D218" s="36">
        <f>SUM(D215:D217)</f>
        <v>0</v>
      </c>
      <c r="E218" s="36">
        <f>SUM(E215:E217)</f>
        <v>2781000</v>
      </c>
      <c r="F218" s="97">
        <f>SUM(F215:F217)</f>
        <v>2780976.15</v>
      </c>
    </row>
    <row r="219" spans="1:6" ht="15" customHeight="1" thickBot="1">
      <c r="A219" s="123"/>
      <c r="B219" s="55"/>
      <c r="C219" s="103" t="s">
        <v>5</v>
      </c>
      <c r="D219" s="36">
        <v>5224000</v>
      </c>
      <c r="E219" s="36">
        <v>5224000</v>
      </c>
      <c r="F219" s="97">
        <v>5224000</v>
      </c>
    </row>
    <row r="220" spans="1:6" ht="15" customHeight="1" thickBot="1">
      <c r="A220" s="124"/>
      <c r="B220" s="89"/>
      <c r="C220" s="39" t="s">
        <v>89</v>
      </c>
      <c r="D220" s="39">
        <f>SUM(D218:D219)</f>
        <v>5224000</v>
      </c>
      <c r="E220" s="39">
        <f>SUM(E218:E219)</f>
        <v>8005000</v>
      </c>
      <c r="F220" s="50">
        <f>SUM(F218:F219)</f>
        <v>8004976.15</v>
      </c>
    </row>
    <row r="221" spans="1:6" ht="15" customHeight="1">
      <c r="A221" s="117" t="s">
        <v>27</v>
      </c>
      <c r="B221" s="22">
        <v>91</v>
      </c>
      <c r="C221" s="82" t="s">
        <v>3</v>
      </c>
      <c r="D221" s="23">
        <v>102000</v>
      </c>
      <c r="E221" s="23">
        <v>102000</v>
      </c>
      <c r="F221" s="59">
        <v>102000</v>
      </c>
    </row>
    <row r="222" spans="1:6" ht="15" customHeight="1">
      <c r="A222" s="118"/>
      <c r="B222" s="51">
        <v>93</v>
      </c>
      <c r="C222" s="29" t="s">
        <v>82</v>
      </c>
      <c r="D222" s="27">
        <v>0</v>
      </c>
      <c r="E222" s="27">
        <v>65000</v>
      </c>
      <c r="F222" s="60">
        <v>64806</v>
      </c>
    </row>
    <row r="223" spans="1:6" ht="15" customHeight="1">
      <c r="A223" s="118"/>
      <c r="B223" s="51">
        <v>93</v>
      </c>
      <c r="C223" s="29" t="s">
        <v>108</v>
      </c>
      <c r="D223" s="27">
        <v>0</v>
      </c>
      <c r="E223" s="27">
        <f>1934000+186000</f>
        <v>2120000</v>
      </c>
      <c r="F223" s="60">
        <f>180342.76+1803514.68</f>
        <v>1983857.44</v>
      </c>
    </row>
    <row r="224" spans="1:6" ht="15" customHeight="1" thickBot="1">
      <c r="A224" s="121"/>
      <c r="B224" s="54">
        <v>1030</v>
      </c>
      <c r="C224" s="142" t="s">
        <v>45</v>
      </c>
      <c r="D224" s="55">
        <v>0</v>
      </c>
      <c r="E224" s="55">
        <v>2000000</v>
      </c>
      <c r="F224" s="56">
        <f>234973.24+630680.88+535003.39</f>
        <v>1400657.51</v>
      </c>
    </row>
    <row r="225" spans="1:6" ht="15" customHeight="1" thickBot="1">
      <c r="A225" s="118" t="s">
        <v>27</v>
      </c>
      <c r="B225" s="30">
        <v>3111</v>
      </c>
      <c r="C225" s="29" t="s">
        <v>36</v>
      </c>
      <c r="D225" s="27">
        <v>4000</v>
      </c>
      <c r="E225" s="27">
        <v>4000</v>
      </c>
      <c r="F225" s="60">
        <v>3500</v>
      </c>
    </row>
    <row r="226" spans="1:6" ht="15" customHeight="1" thickBot="1" thickTop="1">
      <c r="A226" s="119"/>
      <c r="B226" s="53"/>
      <c r="C226" s="46" t="s">
        <v>6</v>
      </c>
      <c r="D226" s="32">
        <f>SUM(D221:D225)</f>
        <v>106000</v>
      </c>
      <c r="E226" s="32">
        <f>SUM(E221:E225)</f>
        <v>4291000</v>
      </c>
      <c r="F226" s="100">
        <f>SUM(F221:F225)</f>
        <v>3554820.95</v>
      </c>
    </row>
    <row r="227" spans="1:6" ht="15" customHeight="1" thickBot="1">
      <c r="A227" s="119"/>
      <c r="B227" s="67"/>
      <c r="C227" s="47" t="s">
        <v>5</v>
      </c>
      <c r="D227" s="36">
        <v>23938000</v>
      </c>
      <c r="E227" s="36">
        <v>23938000</v>
      </c>
      <c r="F227" s="97">
        <v>23938000</v>
      </c>
    </row>
    <row r="228" spans="1:7" ht="15" customHeight="1" thickBot="1">
      <c r="A228" s="120"/>
      <c r="B228" s="89"/>
      <c r="C228" s="39" t="s">
        <v>89</v>
      </c>
      <c r="D228" s="39">
        <f>SUM(D226:D227)</f>
        <v>24044000</v>
      </c>
      <c r="E228" s="39">
        <f>SUM(E226:E227)</f>
        <v>28229000</v>
      </c>
      <c r="F228" s="50">
        <f>SUM(F226:F227)</f>
        <v>27492820.95</v>
      </c>
      <c r="G228" s="12"/>
    </row>
    <row r="229" spans="1:6" ht="15" customHeight="1">
      <c r="A229" s="122" t="s">
        <v>28</v>
      </c>
      <c r="B229" s="23">
        <v>91</v>
      </c>
      <c r="C229" s="58" t="s">
        <v>3</v>
      </c>
      <c r="D229" s="23">
        <v>68000</v>
      </c>
      <c r="E229" s="23">
        <v>68000</v>
      </c>
      <c r="F229" s="24">
        <v>68000</v>
      </c>
    </row>
    <row r="230" spans="1:6" ht="15" customHeight="1">
      <c r="A230" s="123"/>
      <c r="B230" s="26">
        <v>93</v>
      </c>
      <c r="C230" s="42" t="s">
        <v>107</v>
      </c>
      <c r="D230" s="26">
        <v>0</v>
      </c>
      <c r="E230" s="26">
        <v>30000</v>
      </c>
      <c r="F230" s="43">
        <v>30000</v>
      </c>
    </row>
    <row r="231" spans="1:6" ht="15" customHeight="1">
      <c r="A231" s="123"/>
      <c r="B231" s="83">
        <v>1355</v>
      </c>
      <c r="C231" s="29" t="s">
        <v>84</v>
      </c>
      <c r="D231" s="27">
        <v>0</v>
      </c>
      <c r="E231" s="27">
        <f>43000+35000</f>
        <v>78000</v>
      </c>
      <c r="F231" s="28">
        <f>43285.32+34988.9</f>
        <v>78274.22</v>
      </c>
    </row>
    <row r="232" spans="1:6" ht="15" customHeight="1">
      <c r="A232" s="123"/>
      <c r="B232" s="69">
        <v>3111</v>
      </c>
      <c r="C232" s="44" t="s">
        <v>36</v>
      </c>
      <c r="D232" s="27">
        <v>4000</v>
      </c>
      <c r="E232" s="27">
        <v>4000</v>
      </c>
      <c r="F232" s="28">
        <v>3600</v>
      </c>
    </row>
    <row r="233" spans="1:6" ht="15" customHeight="1" thickBot="1">
      <c r="A233" s="123"/>
      <c r="B233" s="74">
        <v>3637</v>
      </c>
      <c r="C233" s="88" t="s">
        <v>34</v>
      </c>
      <c r="D233" s="61">
        <v>0</v>
      </c>
      <c r="E233" s="27">
        <v>5000</v>
      </c>
      <c r="F233" s="28">
        <v>1853.32</v>
      </c>
    </row>
    <row r="234" spans="1:6" ht="15" customHeight="1" thickBot="1" thickTop="1">
      <c r="A234" s="126"/>
      <c r="B234" s="53"/>
      <c r="C234" s="46" t="s">
        <v>6</v>
      </c>
      <c r="D234" s="32">
        <f>SUM(D229:D233)</f>
        <v>72000</v>
      </c>
      <c r="E234" s="32">
        <f>SUM(E229:E233)</f>
        <v>185000</v>
      </c>
      <c r="F234" s="100">
        <f>SUM(F229:F233)</f>
        <v>181727.54</v>
      </c>
    </row>
    <row r="235" spans="1:6" ht="15" customHeight="1" thickBot="1">
      <c r="A235" s="126"/>
      <c r="B235" s="55"/>
      <c r="C235" s="47" t="s">
        <v>5</v>
      </c>
      <c r="D235" s="36">
        <v>20486000</v>
      </c>
      <c r="E235" s="36">
        <v>20486000</v>
      </c>
      <c r="F235" s="97">
        <v>20486000</v>
      </c>
    </row>
    <row r="236" spans="1:7" ht="15" customHeight="1" thickBot="1">
      <c r="A236" s="124"/>
      <c r="B236" s="55"/>
      <c r="C236" s="39" t="s">
        <v>89</v>
      </c>
      <c r="D236" s="39">
        <f>SUM(D234:D235)</f>
        <v>20558000</v>
      </c>
      <c r="E236" s="39">
        <f>SUM(E234:E235)</f>
        <v>20671000</v>
      </c>
      <c r="F236" s="50">
        <f>SUM(F234:F235)</f>
        <v>20667727.54</v>
      </c>
      <c r="G236" s="12"/>
    </row>
    <row r="237" spans="1:6" ht="15" customHeight="1">
      <c r="A237" s="117" t="s">
        <v>29</v>
      </c>
      <c r="B237" s="90">
        <v>90</v>
      </c>
      <c r="C237" s="58" t="s">
        <v>67</v>
      </c>
      <c r="D237" s="23">
        <v>6000000</v>
      </c>
      <c r="E237" s="23">
        <f>6000000-3500000+975000</f>
        <v>3475000</v>
      </c>
      <c r="F237" s="24">
        <v>3475000</v>
      </c>
    </row>
    <row r="238" spans="1:6" ht="15" customHeight="1">
      <c r="A238" s="118"/>
      <c r="B238" s="30">
        <v>91</v>
      </c>
      <c r="C238" s="40" t="s">
        <v>3</v>
      </c>
      <c r="D238" s="27">
        <v>106000</v>
      </c>
      <c r="E238" s="27">
        <v>106000</v>
      </c>
      <c r="F238" s="28">
        <v>106000</v>
      </c>
    </row>
    <row r="239" spans="1:6" ht="15" customHeight="1">
      <c r="A239" s="118"/>
      <c r="B239" s="30">
        <v>93</v>
      </c>
      <c r="C239" s="40" t="s">
        <v>118</v>
      </c>
      <c r="D239" s="27">
        <v>0</v>
      </c>
      <c r="E239" s="27">
        <v>300000</v>
      </c>
      <c r="F239" s="28">
        <v>300000</v>
      </c>
    </row>
    <row r="240" spans="1:6" ht="15" customHeight="1">
      <c r="A240" s="118"/>
      <c r="B240" s="30">
        <v>1030</v>
      </c>
      <c r="C240" s="40" t="s">
        <v>76</v>
      </c>
      <c r="D240" s="27">
        <v>0</v>
      </c>
      <c r="E240" s="27">
        <v>402000</v>
      </c>
      <c r="F240" s="28">
        <v>389743.36</v>
      </c>
    </row>
    <row r="241" spans="1:6" ht="15" customHeight="1">
      <c r="A241" s="118"/>
      <c r="B241" s="25">
        <v>1355</v>
      </c>
      <c r="C241" s="44" t="s">
        <v>84</v>
      </c>
      <c r="D241" s="27">
        <v>0</v>
      </c>
      <c r="E241" s="27">
        <f>87000+70000</f>
        <v>157000</v>
      </c>
      <c r="F241" s="28">
        <f>86570.65+70403.76</f>
        <v>156974.40999999997</v>
      </c>
    </row>
    <row r="242" spans="1:6" ht="15" customHeight="1">
      <c r="A242" s="118"/>
      <c r="B242" s="25">
        <v>3111</v>
      </c>
      <c r="C242" s="44" t="s">
        <v>36</v>
      </c>
      <c r="D242" s="27">
        <v>17000</v>
      </c>
      <c r="E242" s="27">
        <v>17000</v>
      </c>
      <c r="F242" s="28">
        <v>17220</v>
      </c>
    </row>
    <row r="243" spans="1:6" ht="15" customHeight="1">
      <c r="A243" s="118"/>
      <c r="B243" s="25">
        <v>3637</v>
      </c>
      <c r="C243" s="44" t="s">
        <v>34</v>
      </c>
      <c r="D243" s="27">
        <v>0</v>
      </c>
      <c r="E243" s="27">
        <v>10000</v>
      </c>
      <c r="F243" s="28">
        <v>9634.48</v>
      </c>
    </row>
    <row r="244" spans="1:6" ht="15" customHeight="1">
      <c r="A244" s="118"/>
      <c r="B244" s="25">
        <v>7402</v>
      </c>
      <c r="C244" s="42" t="s">
        <v>58</v>
      </c>
      <c r="D244" s="27">
        <v>0</v>
      </c>
      <c r="E244" s="27">
        <v>138000</v>
      </c>
      <c r="F244" s="28">
        <v>138000</v>
      </c>
    </row>
    <row r="245" spans="1:6" ht="15" customHeight="1" thickBot="1">
      <c r="A245" s="118"/>
      <c r="B245" s="63">
        <v>7606</v>
      </c>
      <c r="C245" s="91" t="s">
        <v>77</v>
      </c>
      <c r="D245" s="61">
        <v>0</v>
      </c>
      <c r="E245" s="27">
        <v>48000</v>
      </c>
      <c r="F245" s="28">
        <v>47600</v>
      </c>
    </row>
    <row r="246" spans="1:6" ht="15" customHeight="1" thickBot="1" thickTop="1">
      <c r="A246" s="118"/>
      <c r="B246" s="52"/>
      <c r="C246" s="46" t="s">
        <v>6</v>
      </c>
      <c r="D246" s="32">
        <f>SUM(D237:D245)</f>
        <v>6123000</v>
      </c>
      <c r="E246" s="32">
        <f>SUM(E237:E245)</f>
        <v>4653000</v>
      </c>
      <c r="F246" s="100">
        <f>SUM(F237:F245)</f>
        <v>4640172.250000001</v>
      </c>
    </row>
    <row r="247" spans="1:6" ht="15" customHeight="1" thickBot="1">
      <c r="A247" s="118"/>
      <c r="B247" s="54"/>
      <c r="C247" s="107" t="s">
        <v>5</v>
      </c>
      <c r="D247" s="108">
        <v>26386000</v>
      </c>
      <c r="E247" s="108">
        <v>26386000</v>
      </c>
      <c r="F247" s="109">
        <v>26386000</v>
      </c>
    </row>
    <row r="248" spans="1:7" ht="15" customHeight="1" thickBot="1">
      <c r="A248" s="120"/>
      <c r="B248" s="92"/>
      <c r="C248" s="39" t="s">
        <v>89</v>
      </c>
      <c r="D248" s="39">
        <f>SUM(D246:D247)</f>
        <v>32509000</v>
      </c>
      <c r="E248" s="39">
        <f>SUM(E246:E247)</f>
        <v>31039000</v>
      </c>
      <c r="F248" s="50">
        <f>SUM(F246:F247)</f>
        <v>31026172.25</v>
      </c>
      <c r="G248" s="12"/>
    </row>
    <row r="249" spans="1:6" ht="15" customHeight="1">
      <c r="A249" s="122" t="s">
        <v>30</v>
      </c>
      <c r="B249" s="81">
        <v>93</v>
      </c>
      <c r="C249" s="82" t="s">
        <v>116</v>
      </c>
      <c r="D249" s="23">
        <v>0</v>
      </c>
      <c r="E249" s="23">
        <v>3041000</v>
      </c>
      <c r="F249" s="59">
        <v>3041000</v>
      </c>
    </row>
    <row r="250" spans="1:6" ht="15" customHeight="1">
      <c r="A250" s="123"/>
      <c r="B250" s="69">
        <v>1355</v>
      </c>
      <c r="C250" s="44" t="s">
        <v>84</v>
      </c>
      <c r="D250" s="27">
        <v>0</v>
      </c>
      <c r="E250" s="27">
        <v>1000</v>
      </c>
      <c r="F250" s="60">
        <v>60.85</v>
      </c>
    </row>
    <row r="251" spans="1:6" ht="15" customHeight="1">
      <c r="A251" s="123"/>
      <c r="B251" s="83">
        <v>3637</v>
      </c>
      <c r="C251" s="29" t="s">
        <v>34</v>
      </c>
      <c r="D251" s="27">
        <v>0</v>
      </c>
      <c r="E251" s="27">
        <v>5000</v>
      </c>
      <c r="F251" s="60">
        <v>3500</v>
      </c>
    </row>
    <row r="252" spans="1:6" ht="15" customHeight="1" thickBot="1">
      <c r="A252" s="123"/>
      <c r="B252" s="74">
        <v>6402</v>
      </c>
      <c r="C252" s="88" t="s">
        <v>85</v>
      </c>
      <c r="D252" s="76">
        <v>0</v>
      </c>
      <c r="E252" s="76">
        <v>5000</v>
      </c>
      <c r="F252" s="85">
        <v>5225.3</v>
      </c>
    </row>
    <row r="253" spans="1:6" ht="15" customHeight="1" thickBot="1" thickTop="1">
      <c r="A253" s="123"/>
      <c r="B253" s="80"/>
      <c r="C253" s="102" t="s">
        <v>6</v>
      </c>
      <c r="D253" s="36">
        <f>SUM(D249:D252)</f>
        <v>0</v>
      </c>
      <c r="E253" s="36">
        <f>SUM(E249:E252)</f>
        <v>3052000</v>
      </c>
      <c r="F253" s="97">
        <f>SUM(F249:F252)</f>
        <v>3049786.15</v>
      </c>
    </row>
    <row r="254" spans="1:6" ht="15" customHeight="1" thickBot="1">
      <c r="A254" s="123"/>
      <c r="B254" s="80"/>
      <c r="C254" s="103" t="s">
        <v>5</v>
      </c>
      <c r="D254" s="36">
        <v>6513000</v>
      </c>
      <c r="E254" s="36">
        <v>6513000</v>
      </c>
      <c r="F254" s="97">
        <v>6513000</v>
      </c>
    </row>
    <row r="255" spans="1:6" ht="15" customHeight="1" thickBot="1">
      <c r="A255" s="124"/>
      <c r="B255" s="80"/>
      <c r="C255" s="39" t="s">
        <v>89</v>
      </c>
      <c r="D255" s="39">
        <f>SUM(D253:D254)</f>
        <v>6513000</v>
      </c>
      <c r="E255" s="39">
        <f>SUM(E253:E254)</f>
        <v>9565000</v>
      </c>
      <c r="F255" s="50">
        <f>SUM(F253:F254)</f>
        <v>9562786.15</v>
      </c>
    </row>
    <row r="256" spans="1:6" ht="15" customHeight="1" thickBot="1">
      <c r="A256" s="118" t="s">
        <v>31</v>
      </c>
      <c r="B256" s="83">
        <v>7102</v>
      </c>
      <c r="C256" s="29" t="s">
        <v>40</v>
      </c>
      <c r="D256" s="27">
        <v>0</v>
      </c>
      <c r="E256" s="27">
        <v>150000</v>
      </c>
      <c r="F256" s="60">
        <v>150000</v>
      </c>
    </row>
    <row r="257" spans="1:6" ht="15" customHeight="1" thickBot="1" thickTop="1">
      <c r="A257" s="118"/>
      <c r="B257" s="53"/>
      <c r="C257" s="46" t="s">
        <v>6</v>
      </c>
      <c r="D257" s="32">
        <f>SUM(D256)</f>
        <v>0</v>
      </c>
      <c r="E257" s="32">
        <f>SUM(E256:E256)</f>
        <v>150000</v>
      </c>
      <c r="F257" s="100">
        <f>SUM(F256:F256)</f>
        <v>150000</v>
      </c>
    </row>
    <row r="258" spans="1:6" ht="15" customHeight="1" thickBot="1">
      <c r="A258" s="118"/>
      <c r="B258" s="89"/>
      <c r="C258" s="110" t="s">
        <v>5</v>
      </c>
      <c r="D258" s="111">
        <v>5234000</v>
      </c>
      <c r="E258" s="111">
        <v>5234000</v>
      </c>
      <c r="F258" s="112">
        <v>5234000</v>
      </c>
    </row>
    <row r="259" spans="1:7" ht="15" customHeight="1" thickBot="1">
      <c r="A259" s="119"/>
      <c r="B259" s="93"/>
      <c r="C259" s="39" t="s">
        <v>89</v>
      </c>
      <c r="D259" s="39">
        <f>SUM(D257:D258)</f>
        <v>5234000</v>
      </c>
      <c r="E259" s="39">
        <f>SUM(E257:E258)</f>
        <v>5384000</v>
      </c>
      <c r="F259" s="50">
        <f>SUM(F257:F258)</f>
        <v>5384000</v>
      </c>
      <c r="G259" s="12"/>
    </row>
    <row r="260" spans="1:7" ht="15" customHeight="1" thickBot="1">
      <c r="A260" s="146" t="s">
        <v>7</v>
      </c>
      <c r="B260" s="147"/>
      <c r="C260" s="148"/>
      <c r="D260" s="113">
        <f>SUM(D28+D47+D62+D80+D87+D100+D111+D119+D131+D141+D148+D155+D165+D173+D186+D204+D212+D218+D226+D234+D246+D253+D257)</f>
        <v>43170000</v>
      </c>
      <c r="E260" s="113">
        <f>SUM(E28+E47+E62+E80+E87+E100+E111+E119+E131+E141+E148+E155+E165+E173+E186+E204+E212+E218+E226+E234+E246+E253+E257)</f>
        <v>186619000</v>
      </c>
      <c r="F260" s="114">
        <f>SUM(F28+F47+F62+F80+F87+F100+F111+F119+F131+F141+F148+F155+F165+F173+F186+F204+F212+F218+F226+F234+F246+F253+F257)</f>
        <v>181394637.41</v>
      </c>
      <c r="G260" s="12"/>
    </row>
    <row r="261" spans="1:7" ht="15" customHeight="1" thickBot="1">
      <c r="A261" s="146" t="s">
        <v>8</v>
      </c>
      <c r="B261" s="149"/>
      <c r="C261" s="150"/>
      <c r="D261" s="111">
        <f>SUM(D29+D48+D63+D81+D88+D101+D112+D120+D132+D142+D149+D156+D166+D174+D187+D205+D213+D219+D227+D235+D247+D254+D258)</f>
        <v>1140707000</v>
      </c>
      <c r="E261" s="115">
        <f>SUM(E29+E48+E63+E81+E88+E101+E112+E120+E132+E142+E149+E156+E166+E174+E187+E205+E213+E219+E227+E235+E247+E254+E258)</f>
        <v>1142610000</v>
      </c>
      <c r="F261" s="116">
        <f>SUM(F29+F48+F63+F81+F88+F101+F112+F120+F132+F142+F149+F156+F166+F174+F187+F205+F213+F219+F227+F235+F247+F254+F258)</f>
        <v>1142608314.44</v>
      </c>
      <c r="G261" s="12"/>
    </row>
    <row r="262" spans="1:6" ht="19.5" customHeight="1" thickBot="1">
      <c r="A262" s="151" t="s">
        <v>9</v>
      </c>
      <c r="B262" s="147"/>
      <c r="C262" s="148"/>
      <c r="D262" s="94">
        <f>SUM(D260:D261)</f>
        <v>1183877000</v>
      </c>
      <c r="E262" s="95">
        <f>SUM(E260:E261)</f>
        <v>1329229000</v>
      </c>
      <c r="F262" s="96">
        <f>SUM(F260:F261)</f>
        <v>1324002951.8500001</v>
      </c>
    </row>
    <row r="263" spans="1:6" ht="12.75">
      <c r="A263" s="9"/>
      <c r="B263" s="7"/>
      <c r="C263" s="7"/>
      <c r="D263" s="7"/>
      <c r="E263" s="7"/>
      <c r="F263" s="7"/>
    </row>
    <row r="264" spans="1:6" ht="12.75">
      <c r="A264" s="9"/>
      <c r="B264" s="7"/>
      <c r="C264" s="7"/>
      <c r="D264" s="7"/>
      <c r="E264" s="7"/>
      <c r="F264" s="7"/>
    </row>
    <row r="265" spans="3:6" ht="12.75">
      <c r="C265" s="4"/>
      <c r="D265" s="4"/>
      <c r="E265" s="4"/>
      <c r="F265" s="4"/>
    </row>
    <row r="266" spans="3:6" ht="12.75">
      <c r="C266" s="4"/>
      <c r="D266" s="4"/>
      <c r="E266" s="4"/>
      <c r="F266" s="4"/>
    </row>
    <row r="267" spans="1:6" ht="12.75">
      <c r="A267" s="5"/>
      <c r="B267" s="1"/>
      <c r="C267" s="4"/>
      <c r="D267" s="4"/>
      <c r="E267" s="4"/>
      <c r="F267" s="4"/>
    </row>
    <row r="268" spans="1:6" ht="12.75">
      <c r="A268" s="5"/>
      <c r="B268" s="5"/>
      <c r="C268" s="8"/>
      <c r="D268" s="8"/>
      <c r="E268" s="4"/>
      <c r="F268" s="4"/>
    </row>
  </sheetData>
  <sheetProtection/>
  <mergeCells count="6">
    <mergeCell ref="E3:E5"/>
    <mergeCell ref="A260:C260"/>
    <mergeCell ref="A261:C261"/>
    <mergeCell ref="A262:C262"/>
    <mergeCell ref="D3:D5"/>
    <mergeCell ref="A3:A5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r:id="rId1"/>
  <headerFooter differentFirst="1">
    <oddFooter>&amp;C&amp;P/&amp;N</oddFooter>
    <firstHeader xml:space="preserve">&amp;RPříloha č. 20 </firstHeader>
    <firstFooter>&amp;C&amp;P/&amp;N</firstFooter>
  </headerFooter>
  <rowBreaks count="6" manualBreakCount="6">
    <brk id="97" max="5" man="1"/>
    <brk id="129" max="5" man="1"/>
    <brk id="161" max="5" man="1"/>
    <brk id="193" max="5" man="1"/>
    <brk id="224" max="5" man="1"/>
    <brk id="2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fin42</dc:creator>
  <cp:keywords/>
  <dc:description/>
  <cp:lastModifiedBy>Dannhoferová Irena</cp:lastModifiedBy>
  <cp:lastPrinted>2019-05-25T06:24:21Z</cp:lastPrinted>
  <dcterms:created xsi:type="dcterms:W3CDTF">2003-01-06T14:02:42Z</dcterms:created>
  <dcterms:modified xsi:type="dcterms:W3CDTF">2019-05-25T06:24:25Z</dcterms:modified>
  <cp:category/>
  <cp:version/>
  <cp:contentType/>
  <cp:contentStatus/>
</cp:coreProperties>
</file>