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4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<sst xmlns="http://schemas.openxmlformats.org/spreadsheetml/2006/main" count="366" uniqueCount="74">
  <si>
    <t>Příloha č. 3</t>
  </si>
  <si>
    <t xml:space="preserve"> </t>
  </si>
  <si>
    <t>(v tis.Kč)</t>
  </si>
  <si>
    <t>v tom:</t>
  </si>
  <si>
    <t>Městský obvod</t>
  </si>
  <si>
    <t>Ukazatel</t>
  </si>
  <si>
    <t>Financování</t>
  </si>
  <si>
    <t xml:space="preserve">Běžné </t>
  </si>
  <si>
    <t>Kapitálové</t>
  </si>
  <si>
    <t>Celkem výdaje</t>
  </si>
  <si>
    <t xml:space="preserve">silnice </t>
  </si>
  <si>
    <t xml:space="preserve">školství </t>
  </si>
  <si>
    <t>Měst. obvod</t>
  </si>
  <si>
    <t>kultura+tělovýchova</t>
  </si>
  <si>
    <t>bytové hospodářství</t>
  </si>
  <si>
    <t>ost. kom. služby</t>
  </si>
  <si>
    <t>ost. soc. péče</t>
  </si>
  <si>
    <t xml:space="preserve"> míst. zast. orgány</t>
  </si>
  <si>
    <t xml:space="preserve"> čin. místní správy</t>
  </si>
  <si>
    <t>výdaje</t>
  </si>
  <si>
    <t>po konsolidaci</t>
  </si>
  <si>
    <t>§ 2212, § 2219</t>
  </si>
  <si>
    <t>§ 31xx, § 32xx</t>
  </si>
  <si>
    <t>§ 33xx, § 34xx</t>
  </si>
  <si>
    <t>§ 3612, § 3613</t>
  </si>
  <si>
    <t>§ 36xx, § 37xx</t>
  </si>
  <si>
    <t>§ 6112</t>
  </si>
  <si>
    <t>§ 6171</t>
  </si>
  <si>
    <t xml:space="preserve">Mor.Ostrava </t>
  </si>
  <si>
    <t>SR</t>
  </si>
  <si>
    <t>skut.</t>
  </si>
  <si>
    <t>a Přívoz</t>
  </si>
  <si>
    <t>UR</t>
  </si>
  <si>
    <t>%plnění</t>
  </si>
  <si>
    <t>x</t>
  </si>
  <si>
    <t xml:space="preserve">Slezská </t>
  </si>
  <si>
    <t>Ostrava</t>
  </si>
  <si>
    <t>Ostrava-Jih</t>
  </si>
  <si>
    <t>Poruba</t>
  </si>
  <si>
    <t>Nová Bělá</t>
  </si>
  <si>
    <t>x/</t>
  </si>
  <si>
    <t>Vítkovice</t>
  </si>
  <si>
    <t>Stará Bělá</t>
  </si>
  <si>
    <t>Pustkovec</t>
  </si>
  <si>
    <t>Mar.Hory</t>
  </si>
  <si>
    <t xml:space="preserve">Mar.Hory a </t>
  </si>
  <si>
    <t>a Hulváky</t>
  </si>
  <si>
    <t>Hulváky</t>
  </si>
  <si>
    <t>Petřkovice</t>
  </si>
  <si>
    <t>Lhotka</t>
  </si>
  <si>
    <t>Hošťálkovice</t>
  </si>
  <si>
    <t>míst. zast. orgány</t>
  </si>
  <si>
    <t xml:space="preserve">   čin. místní správy</t>
  </si>
  <si>
    <t xml:space="preserve">       po konsolidaci</t>
  </si>
  <si>
    <t>Nová Ves</t>
  </si>
  <si>
    <t>Proskovice</t>
  </si>
  <si>
    <t>Michálkovice</t>
  </si>
  <si>
    <t>Radvanice a</t>
  </si>
  <si>
    <t xml:space="preserve">Radvanice a </t>
  </si>
  <si>
    <t>Bartovice</t>
  </si>
  <si>
    <t>Krásné Pole</t>
  </si>
  <si>
    <t>Martinov</t>
  </si>
  <si>
    <t>Polanka</t>
  </si>
  <si>
    <t>nad Odrou</t>
  </si>
  <si>
    <t>Hrabová</t>
  </si>
  <si>
    <t>Svinov</t>
  </si>
  <si>
    <t>Třebovice</t>
  </si>
  <si>
    <t>Plesná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</si>
  <si>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</si>
  <si>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</si>
  <si>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</si>
  <si>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§ 431x, § 439x</t>
  </si>
  <si>
    <t>§ 2212- § 2219</t>
  </si>
  <si>
    <t xml:space="preserve">        Přehled o plnění rozpočtu k 31.12. 2016 dle jednotlivých městských obvodů -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</si>
</sst>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/&quot;"/>
    <numFmt numFmtId="165" formatCode="0.0"/>
  </numFmts>
  <fonts count="4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8"/>
      <color indexed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36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5" fillId="33" borderId="25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5" fontId="5" fillId="33" borderId="26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 horizontal="left"/>
    </xf>
    <xf numFmtId="3" fontId="5" fillId="33" borderId="44" xfId="0" applyNumberFormat="1" applyFont="1" applyFill="1" applyBorder="1" applyAlignment="1">
      <alignment horizontal="right"/>
    </xf>
    <xf numFmtId="3" fontId="5" fillId="33" borderId="45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46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48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3" fontId="5" fillId="33" borderId="50" xfId="0" applyNumberFormat="1" applyFont="1" applyFill="1" applyBorder="1" applyAlignment="1">
      <alignment horizontal="right"/>
    </xf>
    <xf numFmtId="3" fontId="5" fillId="33" borderId="5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164" fontId="5" fillId="33" borderId="52" xfId="0" applyNumberFormat="1" applyFont="1" applyFill="1" applyBorder="1" applyAlignment="1">
      <alignment horizontal="right"/>
    </xf>
    <xf numFmtId="3" fontId="5" fillId="33" borderId="53" xfId="0" applyNumberFormat="1" applyFont="1" applyFill="1" applyBorder="1" applyAlignment="1">
      <alignment horizontal="right"/>
    </xf>
    <xf numFmtId="3" fontId="5" fillId="33" borderId="54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56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3" fontId="5" fillId="33" borderId="32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3" fontId="5" fillId="33" borderId="58" xfId="0" applyNumberFormat="1" applyFont="1" applyFill="1" applyBorder="1" applyAlignment="1">
      <alignment horizontal="right"/>
    </xf>
    <xf numFmtId="3" fontId="5" fillId="33" borderId="59" xfId="0" applyNumberFormat="1" applyFont="1" applyFill="1" applyBorder="1" applyAlignment="1">
      <alignment horizontal="right"/>
    </xf>
    <xf numFmtId="0" fontId="5" fillId="33" borderId="6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2"/>
  <sheetViews>
    <sheetView tabSelected="1" zoomScalePageLayoutView="0" workbookViewId="0" topLeftCell="B1">
      <selection activeCell="AO11" sqref="AO11"/>
    </sheetView>
  </sheetViews>
  <sheetFormatPr defaultColWidth="9.00390625" defaultRowHeight="12.75"/>
  <cols>
    <col min="1" max="1" width="14.25390625" style="1" customWidth="1"/>
    <col min="2" max="2" width="3.625" style="1" bestFit="1" customWidth="1"/>
    <col min="3" max="3" width="8.125" style="1" bestFit="1" customWidth="1"/>
    <col min="4" max="4" width="7.125" style="1" bestFit="1" customWidth="1"/>
    <col min="5" max="5" width="7.375" style="1" customWidth="1"/>
    <col min="6" max="6" width="8.625" style="1" customWidth="1"/>
    <col min="7" max="7" width="6.75390625" style="1" customWidth="1"/>
    <col min="8" max="8" width="7.875" style="1" customWidth="1"/>
    <col min="9" max="9" width="7.875" style="1" bestFit="1" customWidth="1"/>
    <col min="10" max="10" width="6.125" style="1" customWidth="1"/>
    <col min="11" max="11" width="7.125" style="1" customWidth="1"/>
    <col min="12" max="12" width="7.875" style="1" customWidth="1"/>
    <col min="13" max="13" width="5.25390625" style="1" bestFit="1" customWidth="1"/>
    <col min="14" max="15" width="7.00390625" style="1" bestFit="1" customWidth="1"/>
    <col min="16" max="16" width="6.125" style="1" customWidth="1"/>
    <col min="17" max="17" width="5.25390625" style="1" customWidth="1"/>
    <col min="18" max="18" width="7.125" style="1" bestFit="1" customWidth="1"/>
    <col min="19" max="20" width="5.25390625" style="1" customWidth="1"/>
    <col min="21" max="21" width="11.75390625" style="1" customWidth="1"/>
    <col min="22" max="22" width="11.625" style="1" customWidth="1"/>
    <col min="23" max="23" width="3.625" style="1" customWidth="1"/>
    <col min="24" max="24" width="7.75390625" style="1" customWidth="1"/>
    <col min="25" max="25" width="7.00390625" style="1" customWidth="1"/>
    <col min="26" max="26" width="6.25390625" style="1" customWidth="1"/>
    <col min="27" max="27" width="4.875" style="1" customWidth="1"/>
    <col min="28" max="28" width="7.125" style="1" customWidth="1"/>
    <col min="29" max="29" width="5.875" style="1" customWidth="1"/>
    <col min="30" max="30" width="5.125" style="1" customWidth="1"/>
    <col min="31" max="31" width="7.00390625" style="1" customWidth="1"/>
    <col min="32" max="32" width="6.00390625" style="1" customWidth="1"/>
    <col min="33" max="33" width="5.00390625" style="1" customWidth="1"/>
    <col min="34" max="34" width="7.75390625" style="1" customWidth="1"/>
    <col min="35" max="35" width="6.125" style="1" customWidth="1"/>
    <col min="36" max="36" width="5.25390625" style="1" customWidth="1"/>
    <col min="37" max="37" width="6.125" style="1" customWidth="1"/>
    <col min="38" max="38" width="5.75390625" style="1" customWidth="1"/>
    <col min="39" max="39" width="5.25390625" style="1" customWidth="1"/>
    <col min="40" max="40" width="7.375" style="1" customWidth="1"/>
    <col min="41" max="41" width="5.25390625" style="1" customWidth="1"/>
    <col min="42" max="42" width="4.875" style="1" customWidth="1"/>
    <col min="43" max="16384" width="9.125" style="1" customWidth="1"/>
  </cols>
  <sheetData>
    <row r="1" spans="20:42" ht="12.75">
      <c r="T1" s="2" t="s">
        <v>0</v>
      </c>
      <c r="AP1" s="2" t="s">
        <v>0</v>
      </c>
    </row>
    <row r="2" spans="1:20" ht="18">
      <c r="A2" s="177" t="s">
        <v>73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6:13" ht="12.75">
      <c r="F3" s="1" t="s">
        <v>1</v>
      </c>
      <c r="H3" s="1" t="s">
        <v>1</v>
      </c>
      <c r="K3" s="1" t="s">
        <v>69</v>
      </c>
      <c r="M3" s="1" t="s">
        <v>70</v>
      </c>
    </row>
    <row r="4" spans="20:42" ht="13.5" thickBot="1">
      <c r="T4" s="3" t="s">
        <v>2</v>
      </c>
      <c r="U4" s="2"/>
      <c r="AP4" s="3" t="s">
        <v>2</v>
      </c>
    </row>
    <row r="5" spans="1:42" ht="15" customHeight="1">
      <c r="A5" s="4"/>
      <c r="B5" s="4"/>
      <c r="C5" s="5"/>
      <c r="D5" s="178"/>
      <c r="E5" s="179"/>
      <c r="F5" s="4"/>
      <c r="G5" s="6"/>
      <c r="H5" s="5"/>
      <c r="I5" s="178"/>
      <c r="J5" s="180"/>
      <c r="K5" s="179"/>
      <c r="L5" s="178"/>
      <c r="M5" s="180"/>
      <c r="N5" s="180"/>
      <c r="O5" s="7" t="s">
        <v>3</v>
      </c>
      <c r="P5" s="8"/>
      <c r="Q5" s="9"/>
      <c r="R5" s="9"/>
      <c r="S5" s="9"/>
      <c r="T5" s="10"/>
      <c r="U5" s="11"/>
      <c r="V5" s="4"/>
      <c r="W5" s="4"/>
      <c r="X5" s="5"/>
      <c r="Y5" s="7" t="s">
        <v>3</v>
      </c>
      <c r="Z5" s="8"/>
      <c r="AA5" s="9"/>
      <c r="AB5" s="9"/>
      <c r="AC5" s="9"/>
      <c r="AD5" s="9"/>
      <c r="AE5" s="9"/>
      <c r="AF5" s="9"/>
      <c r="AG5" s="9"/>
      <c r="AH5" s="169"/>
      <c r="AI5" s="169"/>
      <c r="AJ5" s="169"/>
      <c r="AK5" s="169"/>
      <c r="AL5" s="169"/>
      <c r="AM5" s="169"/>
      <c r="AN5" s="169"/>
      <c r="AO5" s="12"/>
      <c r="AP5" s="13"/>
    </row>
    <row r="6" spans="1:42" ht="15" customHeight="1">
      <c r="A6" s="14" t="s">
        <v>4</v>
      </c>
      <c r="B6" s="173" t="s">
        <v>5</v>
      </c>
      <c r="C6" s="174"/>
      <c r="D6" s="173" t="s">
        <v>6</v>
      </c>
      <c r="E6" s="174"/>
      <c r="F6" s="173" t="s">
        <v>7</v>
      </c>
      <c r="G6" s="157"/>
      <c r="H6" s="174"/>
      <c r="I6" s="173" t="s">
        <v>8</v>
      </c>
      <c r="J6" s="157"/>
      <c r="K6" s="174"/>
      <c r="L6" s="173" t="s">
        <v>9</v>
      </c>
      <c r="M6" s="157"/>
      <c r="N6" s="157"/>
      <c r="O6" s="173" t="s">
        <v>10</v>
      </c>
      <c r="P6" s="157"/>
      <c r="Q6" s="157"/>
      <c r="R6" s="155" t="s">
        <v>11</v>
      </c>
      <c r="S6" s="148"/>
      <c r="T6" s="156"/>
      <c r="U6" s="16"/>
      <c r="V6" s="15" t="s">
        <v>12</v>
      </c>
      <c r="W6" s="173" t="s">
        <v>5</v>
      </c>
      <c r="X6" s="174"/>
      <c r="Y6" s="173" t="s">
        <v>13</v>
      </c>
      <c r="Z6" s="157"/>
      <c r="AA6" s="157"/>
      <c r="AB6" s="175" t="s">
        <v>14</v>
      </c>
      <c r="AC6" s="157"/>
      <c r="AD6" s="176"/>
      <c r="AE6" s="155" t="s">
        <v>15</v>
      </c>
      <c r="AF6" s="148"/>
      <c r="AG6" s="158"/>
      <c r="AH6" s="155" t="s">
        <v>16</v>
      </c>
      <c r="AI6" s="148"/>
      <c r="AJ6" s="158"/>
      <c r="AK6" s="155" t="s">
        <v>17</v>
      </c>
      <c r="AL6" s="148"/>
      <c r="AM6" s="158"/>
      <c r="AN6" s="155" t="s">
        <v>18</v>
      </c>
      <c r="AO6" s="148"/>
      <c r="AP6" s="156"/>
    </row>
    <row r="7" spans="1:42" ht="15" customHeight="1" thickBot="1">
      <c r="A7" s="17"/>
      <c r="B7" s="17"/>
      <c r="C7" s="18"/>
      <c r="D7" s="19"/>
      <c r="E7" s="20"/>
      <c r="F7" s="170" t="s">
        <v>19</v>
      </c>
      <c r="G7" s="171"/>
      <c r="H7" s="172"/>
      <c r="I7" s="170" t="s">
        <v>19</v>
      </c>
      <c r="J7" s="171"/>
      <c r="K7" s="172"/>
      <c r="L7" s="170" t="s">
        <v>20</v>
      </c>
      <c r="M7" s="171"/>
      <c r="N7" s="172"/>
      <c r="O7" s="162" t="s">
        <v>72</v>
      </c>
      <c r="P7" s="163"/>
      <c r="Q7" s="164"/>
      <c r="R7" s="144" t="s">
        <v>22</v>
      </c>
      <c r="S7" s="145"/>
      <c r="T7" s="149"/>
      <c r="U7" s="21"/>
      <c r="V7" s="17"/>
      <c r="W7" s="17"/>
      <c r="X7" s="18"/>
      <c r="Y7" s="165" t="s">
        <v>23</v>
      </c>
      <c r="Z7" s="145"/>
      <c r="AA7" s="145"/>
      <c r="AB7" s="144" t="s">
        <v>24</v>
      </c>
      <c r="AC7" s="145"/>
      <c r="AD7" s="146"/>
      <c r="AE7" s="144" t="s">
        <v>25</v>
      </c>
      <c r="AF7" s="145"/>
      <c r="AG7" s="146"/>
      <c r="AH7" s="144" t="s">
        <v>71</v>
      </c>
      <c r="AI7" s="145"/>
      <c r="AJ7" s="146"/>
      <c r="AK7" s="144" t="s">
        <v>26</v>
      </c>
      <c r="AL7" s="145"/>
      <c r="AM7" s="146"/>
      <c r="AN7" s="144" t="s">
        <v>27</v>
      </c>
      <c r="AO7" s="145"/>
      <c r="AP7" s="149"/>
    </row>
    <row r="8" spans="1:42" ht="15" customHeight="1" thickTop="1">
      <c r="A8" s="22" t="s">
        <v>28</v>
      </c>
      <c r="B8" s="82" t="s">
        <v>29</v>
      </c>
      <c r="C8" s="83" t="s">
        <v>30</v>
      </c>
      <c r="D8" s="98">
        <v>39842</v>
      </c>
      <c r="E8" s="115">
        <v>-22408</v>
      </c>
      <c r="F8" s="100">
        <f>327797-3376</f>
        <v>324421</v>
      </c>
      <c r="G8" s="133">
        <f>718356-365770</f>
        <v>352586</v>
      </c>
      <c r="H8" s="134"/>
      <c r="I8" s="100">
        <v>54216</v>
      </c>
      <c r="J8" s="133">
        <v>79712</v>
      </c>
      <c r="K8" s="134"/>
      <c r="L8" s="98">
        <f>SUM(F8+I8)</f>
        <v>378637</v>
      </c>
      <c r="M8" s="133">
        <f>SUM(G8+J8)</f>
        <v>432298</v>
      </c>
      <c r="N8" s="134"/>
      <c r="O8" s="100">
        <v>21301</v>
      </c>
      <c r="P8" s="133">
        <v>34855</v>
      </c>
      <c r="Q8" s="134"/>
      <c r="R8" s="100">
        <v>46376</v>
      </c>
      <c r="S8" s="133">
        <v>62117</v>
      </c>
      <c r="T8" s="134"/>
      <c r="U8" s="25"/>
      <c r="V8" s="22" t="s">
        <v>28</v>
      </c>
      <c r="W8" s="23" t="s">
        <v>29</v>
      </c>
      <c r="X8" s="24" t="s">
        <v>30</v>
      </c>
      <c r="Y8" s="100">
        <v>14256</v>
      </c>
      <c r="Z8" s="133">
        <v>15464</v>
      </c>
      <c r="AA8" s="134"/>
      <c r="AB8" s="100">
        <v>90165</v>
      </c>
      <c r="AC8" s="133">
        <v>77684</v>
      </c>
      <c r="AD8" s="134"/>
      <c r="AE8" s="100">
        <v>85420</v>
      </c>
      <c r="AF8" s="133">
        <v>89683</v>
      </c>
      <c r="AG8" s="134"/>
      <c r="AH8" s="100">
        <v>10854</v>
      </c>
      <c r="AI8" s="133">
        <v>23649</v>
      </c>
      <c r="AJ8" s="134"/>
      <c r="AK8" s="100">
        <v>7607</v>
      </c>
      <c r="AL8" s="133">
        <v>6587</v>
      </c>
      <c r="AM8" s="134"/>
      <c r="AN8" s="98">
        <v>97183</v>
      </c>
      <c r="AO8" s="133">
        <v>84957</v>
      </c>
      <c r="AP8" s="134"/>
    </row>
    <row r="9" spans="1:42" ht="15" customHeight="1" thickBot="1">
      <c r="A9" s="26" t="s">
        <v>31</v>
      </c>
      <c r="B9" s="84" t="s">
        <v>32</v>
      </c>
      <c r="C9" s="85" t="s">
        <v>33</v>
      </c>
      <c r="D9" s="99">
        <v>23879</v>
      </c>
      <c r="E9" s="116" t="s">
        <v>34</v>
      </c>
      <c r="F9" s="101">
        <f>388925-3376</f>
        <v>385549</v>
      </c>
      <c r="G9" s="73" t="s">
        <v>1</v>
      </c>
      <c r="H9" s="74">
        <f>G8/F9*100</f>
        <v>91.45037336369695</v>
      </c>
      <c r="I9" s="72">
        <v>97321</v>
      </c>
      <c r="J9" s="73">
        <f>J8/I8*100</f>
        <v>147.0267079828833</v>
      </c>
      <c r="K9" s="74">
        <f>J8/I9*100</f>
        <v>81.90626894503755</v>
      </c>
      <c r="L9" s="99">
        <f aca="true" t="shared" si="0" ref="L9:L31">SUM(F9+I9)</f>
        <v>482870</v>
      </c>
      <c r="M9" s="73">
        <f>M8/L8*100</f>
        <v>114.17214905040976</v>
      </c>
      <c r="N9" s="74">
        <f>M8/L9*100</f>
        <v>89.52678774825522</v>
      </c>
      <c r="O9" s="72">
        <v>44471</v>
      </c>
      <c r="P9" s="73">
        <f>P8/O8*100</f>
        <v>163.6308154546735</v>
      </c>
      <c r="Q9" s="74">
        <f>P8/O9*100</f>
        <v>78.37691979042522</v>
      </c>
      <c r="R9" s="101">
        <v>70223</v>
      </c>
      <c r="S9" s="73">
        <f>S8/R8*100</f>
        <v>133.94212523719165</v>
      </c>
      <c r="T9" s="74">
        <f>S8/R9*100</f>
        <v>88.45677342181337</v>
      </c>
      <c r="U9" s="29"/>
      <c r="V9" s="26" t="s">
        <v>31</v>
      </c>
      <c r="W9" s="27" t="s">
        <v>32</v>
      </c>
      <c r="X9" s="28" t="s">
        <v>33</v>
      </c>
      <c r="Y9" s="72">
        <v>17172</v>
      </c>
      <c r="Z9" s="73">
        <f>Z8/Y8*100</f>
        <v>108.4736251402918</v>
      </c>
      <c r="AA9" s="74">
        <f>Z8/Y9*100</f>
        <v>90.05357558816678</v>
      </c>
      <c r="AB9" s="72">
        <v>86410</v>
      </c>
      <c r="AC9" s="73">
        <f>AC8/AB8*100</f>
        <v>86.15759995563688</v>
      </c>
      <c r="AD9" s="74">
        <f>AC8/AB9*100</f>
        <v>89.90163175558385</v>
      </c>
      <c r="AE9" s="72">
        <v>92519</v>
      </c>
      <c r="AF9" s="73">
        <f>AF8/AE8*100</f>
        <v>104.99063451182393</v>
      </c>
      <c r="AG9" s="74">
        <f>AF8/AE9*100</f>
        <v>96.9346836865941</v>
      </c>
      <c r="AH9" s="105">
        <v>22326</v>
      </c>
      <c r="AI9" s="73">
        <f>AI8/AH8*100</f>
        <v>217.88280818131565</v>
      </c>
      <c r="AJ9" s="74">
        <f>AI8/AH9*100</f>
        <v>105.92582639075516</v>
      </c>
      <c r="AK9" s="105">
        <v>7957</v>
      </c>
      <c r="AL9" s="73">
        <f>AL8/AK8*100</f>
        <v>86.59129748915473</v>
      </c>
      <c r="AM9" s="74">
        <f>AL8/AK9*100</f>
        <v>82.7824556993842</v>
      </c>
      <c r="AN9" s="99">
        <v>98825</v>
      </c>
      <c r="AO9" s="73">
        <f>AO8/AN8*100</f>
        <v>87.41961042569174</v>
      </c>
      <c r="AP9" s="74">
        <f>AO8/AN9*100</f>
        <v>85.96711358461928</v>
      </c>
    </row>
    <row r="10" spans="1:42" ht="15" customHeight="1">
      <c r="A10" s="30" t="s">
        <v>35</v>
      </c>
      <c r="B10" s="31" t="s">
        <v>29</v>
      </c>
      <c r="C10" s="10" t="s">
        <v>30</v>
      </c>
      <c r="D10" s="102">
        <v>7000</v>
      </c>
      <c r="E10" s="117">
        <v>-15978</v>
      </c>
      <c r="F10" s="104">
        <f>216290-2817</f>
        <v>213473</v>
      </c>
      <c r="G10" s="139">
        <f>523543-309862</f>
        <v>213681</v>
      </c>
      <c r="H10" s="140"/>
      <c r="I10" s="104">
        <v>11950</v>
      </c>
      <c r="J10" s="139">
        <v>13738</v>
      </c>
      <c r="K10" s="140"/>
      <c r="L10" s="104">
        <f t="shared" si="0"/>
        <v>225423</v>
      </c>
      <c r="M10" s="139">
        <f>SUM(G10+J10)</f>
        <v>227419</v>
      </c>
      <c r="N10" s="140"/>
      <c r="O10" s="104">
        <v>15650</v>
      </c>
      <c r="P10" s="139">
        <v>16551</v>
      </c>
      <c r="Q10" s="140"/>
      <c r="R10" s="104">
        <v>15921</v>
      </c>
      <c r="S10" s="139">
        <v>25041</v>
      </c>
      <c r="T10" s="140"/>
      <c r="U10" s="25"/>
      <c r="V10" s="30" t="s">
        <v>35</v>
      </c>
      <c r="W10" s="31" t="s">
        <v>29</v>
      </c>
      <c r="X10" s="10" t="s">
        <v>30</v>
      </c>
      <c r="Y10" s="104">
        <v>6213</v>
      </c>
      <c r="Z10" s="139">
        <v>7901</v>
      </c>
      <c r="AA10" s="140"/>
      <c r="AB10" s="104">
        <v>42342</v>
      </c>
      <c r="AC10" s="139">
        <v>42319</v>
      </c>
      <c r="AD10" s="140"/>
      <c r="AE10" s="104">
        <v>29542</v>
      </c>
      <c r="AF10" s="139">
        <v>33085</v>
      </c>
      <c r="AG10" s="140"/>
      <c r="AH10" s="104">
        <v>22646</v>
      </c>
      <c r="AI10" s="139">
        <v>26028</v>
      </c>
      <c r="AJ10" s="140"/>
      <c r="AK10" s="104">
        <v>9048</v>
      </c>
      <c r="AL10" s="139">
        <v>8067</v>
      </c>
      <c r="AM10" s="140"/>
      <c r="AN10" s="102">
        <v>75384</v>
      </c>
      <c r="AO10" s="139">
        <v>64347</v>
      </c>
      <c r="AP10" s="140"/>
    </row>
    <row r="11" spans="1:42" ht="15" customHeight="1" thickBot="1">
      <c r="A11" s="26" t="s">
        <v>36</v>
      </c>
      <c r="B11" s="32" t="s">
        <v>32</v>
      </c>
      <c r="C11" s="33" t="s">
        <v>33</v>
      </c>
      <c r="D11" s="103">
        <v>82426</v>
      </c>
      <c r="E11" s="118" t="s">
        <v>34</v>
      </c>
      <c r="F11" s="72">
        <f>309769-5817</f>
        <v>303952</v>
      </c>
      <c r="G11" s="73">
        <f>G10/F10*100</f>
        <v>100.09743620973144</v>
      </c>
      <c r="H11" s="74">
        <f>G10/F11*100</f>
        <v>70.30090277412224</v>
      </c>
      <c r="I11" s="72">
        <v>17476</v>
      </c>
      <c r="J11" s="73">
        <f>J10/I10*100</f>
        <v>114.96234309623432</v>
      </c>
      <c r="K11" s="74">
        <f>J10/I11*100</f>
        <v>78.61066605630579</v>
      </c>
      <c r="L11" s="72">
        <f t="shared" si="0"/>
        <v>321428</v>
      </c>
      <c r="M11" s="73">
        <f>M10/L10*100</f>
        <v>100.88544647174422</v>
      </c>
      <c r="N11" s="74">
        <f>M10/L11*100</f>
        <v>70.75270356036188</v>
      </c>
      <c r="O11" s="72">
        <v>17677</v>
      </c>
      <c r="P11" s="73">
        <f>P10/O10*100</f>
        <v>105.75718849840257</v>
      </c>
      <c r="Q11" s="74">
        <f>P10/O11*100</f>
        <v>93.63014086100583</v>
      </c>
      <c r="R11" s="72">
        <v>27118</v>
      </c>
      <c r="S11" s="73">
        <f>S10/R10*100</f>
        <v>157.28283399283964</v>
      </c>
      <c r="T11" s="74">
        <f>S10/R11*100</f>
        <v>92.34088059591416</v>
      </c>
      <c r="U11" s="29"/>
      <c r="V11" s="26" t="s">
        <v>36</v>
      </c>
      <c r="W11" s="32" t="s">
        <v>32</v>
      </c>
      <c r="X11" s="33" t="s">
        <v>33</v>
      </c>
      <c r="Y11" s="72">
        <v>9321</v>
      </c>
      <c r="Z11" s="73">
        <f>Z10/Y10*100</f>
        <v>127.16883953001769</v>
      </c>
      <c r="AA11" s="74">
        <f>Z10/Y11*100</f>
        <v>84.76558309194291</v>
      </c>
      <c r="AB11" s="72">
        <v>46019</v>
      </c>
      <c r="AC11" s="73">
        <f>AC10/AB10*100</f>
        <v>99.94568041188418</v>
      </c>
      <c r="AD11" s="74">
        <f>AC10/AB11*100</f>
        <v>91.95984267367827</v>
      </c>
      <c r="AE11" s="72">
        <v>35679</v>
      </c>
      <c r="AF11" s="73">
        <f>AF10/AE10*100</f>
        <v>111.99309457721212</v>
      </c>
      <c r="AG11" s="74">
        <f>AF10/AE11*100</f>
        <v>92.72961686145912</v>
      </c>
      <c r="AH11" s="72">
        <v>31706</v>
      </c>
      <c r="AI11" s="73">
        <f>AI10/AH10*100</f>
        <v>114.93420471606464</v>
      </c>
      <c r="AJ11" s="74">
        <f>AI10/AH11*100</f>
        <v>82.09171765596417</v>
      </c>
      <c r="AK11" s="72">
        <v>8768</v>
      </c>
      <c r="AL11" s="73">
        <f>AL10/AK10*100</f>
        <v>89.157824933687</v>
      </c>
      <c r="AM11" s="74">
        <f>AL10/AK11*100</f>
        <v>92.00501824817519</v>
      </c>
      <c r="AN11" s="103">
        <v>76548</v>
      </c>
      <c r="AO11" s="73">
        <f>AO10/AN10*100</f>
        <v>85.35896211397645</v>
      </c>
      <c r="AP11" s="74">
        <f>AO10/AN11*100</f>
        <v>84.06098134503841</v>
      </c>
    </row>
    <row r="12" spans="1:42" ht="15" customHeight="1">
      <c r="A12" s="30"/>
      <c r="B12" s="31" t="s">
        <v>29</v>
      </c>
      <c r="C12" s="10" t="s">
        <v>30</v>
      </c>
      <c r="D12" s="98">
        <v>56875</v>
      </c>
      <c r="E12" s="115">
        <v>-206371</v>
      </c>
      <c r="F12" s="104">
        <f>709966-0</f>
        <v>709966</v>
      </c>
      <c r="G12" s="139">
        <f>1229494-535409</f>
        <v>694085</v>
      </c>
      <c r="H12" s="140"/>
      <c r="I12" s="100">
        <v>103335</v>
      </c>
      <c r="J12" s="139">
        <v>55423</v>
      </c>
      <c r="K12" s="140"/>
      <c r="L12" s="104">
        <f t="shared" si="0"/>
        <v>813301</v>
      </c>
      <c r="M12" s="139">
        <f>SUM(G12+J12)</f>
        <v>749508</v>
      </c>
      <c r="N12" s="140"/>
      <c r="O12" s="104">
        <v>57029</v>
      </c>
      <c r="P12" s="139">
        <v>30768</v>
      </c>
      <c r="Q12" s="140"/>
      <c r="R12" s="104">
        <v>156044</v>
      </c>
      <c r="S12" s="139">
        <v>135667</v>
      </c>
      <c r="T12" s="140"/>
      <c r="U12" s="25"/>
      <c r="V12" s="30"/>
      <c r="W12" s="31" t="s">
        <v>29</v>
      </c>
      <c r="X12" s="10" t="s">
        <v>30</v>
      </c>
      <c r="Y12" s="104">
        <v>39331</v>
      </c>
      <c r="Z12" s="139">
        <v>31146</v>
      </c>
      <c r="AA12" s="140"/>
      <c r="AB12" s="104">
        <v>289840</v>
      </c>
      <c r="AC12" s="139">
        <v>238784</v>
      </c>
      <c r="AD12" s="140"/>
      <c r="AE12" s="104">
        <v>72885</v>
      </c>
      <c r="AF12" s="139">
        <v>60536</v>
      </c>
      <c r="AG12" s="140"/>
      <c r="AH12" s="100">
        <v>17819</v>
      </c>
      <c r="AI12" s="139">
        <v>35648</v>
      </c>
      <c r="AJ12" s="140"/>
      <c r="AK12" s="100">
        <v>14063</v>
      </c>
      <c r="AL12" s="139">
        <v>13717</v>
      </c>
      <c r="AM12" s="140"/>
      <c r="AN12" s="98">
        <v>139640</v>
      </c>
      <c r="AO12" s="139">
        <v>135093</v>
      </c>
      <c r="AP12" s="140"/>
    </row>
    <row r="13" spans="1:42" ht="15" customHeight="1" thickBot="1">
      <c r="A13" s="26" t="s">
        <v>37</v>
      </c>
      <c r="B13" s="32" t="s">
        <v>32</v>
      </c>
      <c r="C13" s="33" t="s">
        <v>33</v>
      </c>
      <c r="D13" s="98">
        <v>233563</v>
      </c>
      <c r="E13" s="116" t="s">
        <v>34</v>
      </c>
      <c r="F13" s="101">
        <f>827523-0</f>
        <v>827523</v>
      </c>
      <c r="G13" s="73">
        <f>G12/F12*100</f>
        <v>97.76313231901246</v>
      </c>
      <c r="H13" s="74">
        <f>G12/F13*100</f>
        <v>83.87501012056462</v>
      </c>
      <c r="I13" s="105">
        <v>226222</v>
      </c>
      <c r="J13" s="73">
        <f>J12/I12*100</f>
        <v>53.63429622102869</v>
      </c>
      <c r="K13" s="74">
        <f>J12/I13*100</f>
        <v>24.499385559317837</v>
      </c>
      <c r="L13" s="72">
        <f t="shared" si="0"/>
        <v>1053745</v>
      </c>
      <c r="M13" s="73">
        <f>M12/L12*100</f>
        <v>92.15628654089937</v>
      </c>
      <c r="N13" s="74">
        <f>M12/L13*100</f>
        <v>71.12802433226256</v>
      </c>
      <c r="O13" s="72">
        <v>67530</v>
      </c>
      <c r="P13" s="73">
        <f>P12/O12*100</f>
        <v>53.951498360483264</v>
      </c>
      <c r="Q13" s="74">
        <f>P12/O13*100</f>
        <v>45.561972456685915</v>
      </c>
      <c r="R13" s="72">
        <v>171865</v>
      </c>
      <c r="S13" s="73">
        <f>S12/R12*100</f>
        <v>86.94150367844968</v>
      </c>
      <c r="T13" s="74">
        <f>S12/R13*100</f>
        <v>78.93812003607482</v>
      </c>
      <c r="U13" s="29"/>
      <c r="V13" s="26" t="s">
        <v>37</v>
      </c>
      <c r="W13" s="32" t="s">
        <v>32</v>
      </c>
      <c r="X13" s="33" t="s">
        <v>33</v>
      </c>
      <c r="Y13" s="72">
        <v>60822</v>
      </c>
      <c r="Z13" s="73">
        <f>Z12/Y12*100</f>
        <v>79.18944344156009</v>
      </c>
      <c r="AA13" s="74">
        <f>Z12/Y13*100</f>
        <v>51.208444312913095</v>
      </c>
      <c r="AB13" s="72">
        <v>326013</v>
      </c>
      <c r="AC13" s="73">
        <f>AC12/AB12*100</f>
        <v>82.3847640077284</v>
      </c>
      <c r="AD13" s="74">
        <f>AC12/AB13*100</f>
        <v>73.24370500562861</v>
      </c>
      <c r="AE13" s="72">
        <v>121187</v>
      </c>
      <c r="AF13" s="73">
        <f>AF12/AE12*100</f>
        <v>83.05687041229334</v>
      </c>
      <c r="AG13" s="74">
        <f>AF12/AE13*100</f>
        <v>49.95255266654014</v>
      </c>
      <c r="AH13" s="105">
        <v>39193</v>
      </c>
      <c r="AI13" s="73">
        <f>AI12/AH12*100</f>
        <v>200.0561198720467</v>
      </c>
      <c r="AJ13" s="74">
        <f>AI12/AH13*100</f>
        <v>90.9550174776108</v>
      </c>
      <c r="AK13" s="105">
        <v>14073</v>
      </c>
      <c r="AL13" s="73">
        <f>AL12/AK12*100</f>
        <v>97.53964303491432</v>
      </c>
      <c r="AM13" s="74">
        <f>AL12/AK13*100</f>
        <v>97.47033326227528</v>
      </c>
      <c r="AN13" s="99">
        <v>161289</v>
      </c>
      <c r="AO13" s="73">
        <f>AO12/AN12*100</f>
        <v>96.74376969349755</v>
      </c>
      <c r="AP13" s="74">
        <f>AO12/AN13*100</f>
        <v>83.75834681844391</v>
      </c>
    </row>
    <row r="14" spans="1:42" ht="15" customHeight="1">
      <c r="A14" s="30"/>
      <c r="B14" s="31" t="s">
        <v>29</v>
      </c>
      <c r="C14" s="10" t="s">
        <v>30</v>
      </c>
      <c r="D14" s="102">
        <v>84953</v>
      </c>
      <c r="E14" s="117">
        <v>-16473</v>
      </c>
      <c r="F14" s="104">
        <f>319632-5012</f>
        <v>314620</v>
      </c>
      <c r="G14" s="139">
        <f>461751-120696</f>
        <v>341055</v>
      </c>
      <c r="H14" s="140"/>
      <c r="I14" s="104">
        <v>92372</v>
      </c>
      <c r="J14" s="139">
        <v>31316</v>
      </c>
      <c r="K14" s="140"/>
      <c r="L14" s="104">
        <f t="shared" si="0"/>
        <v>406992</v>
      </c>
      <c r="M14" s="139">
        <f>SUM(G14+J14)</f>
        <v>372371</v>
      </c>
      <c r="N14" s="140"/>
      <c r="O14" s="104">
        <v>37009</v>
      </c>
      <c r="P14" s="139">
        <v>25558</v>
      </c>
      <c r="Q14" s="140"/>
      <c r="R14" s="104">
        <v>66303</v>
      </c>
      <c r="S14" s="139">
        <v>82202</v>
      </c>
      <c r="T14" s="140"/>
      <c r="U14" s="25"/>
      <c r="V14" s="34"/>
      <c r="W14" s="31" t="s">
        <v>29</v>
      </c>
      <c r="X14" s="10" t="s">
        <v>30</v>
      </c>
      <c r="Y14" s="104">
        <v>5670</v>
      </c>
      <c r="Z14" s="139">
        <v>9705</v>
      </c>
      <c r="AA14" s="140"/>
      <c r="AB14" s="104">
        <v>54721</v>
      </c>
      <c r="AC14" s="139">
        <v>53268</v>
      </c>
      <c r="AD14" s="140"/>
      <c r="AE14" s="104">
        <v>41961</v>
      </c>
      <c r="AF14" s="139">
        <v>46692</v>
      </c>
      <c r="AG14" s="140"/>
      <c r="AH14" s="104">
        <v>24455</v>
      </c>
      <c r="AI14" s="139">
        <v>35149</v>
      </c>
      <c r="AJ14" s="140"/>
      <c r="AK14" s="104">
        <v>10050</v>
      </c>
      <c r="AL14" s="139">
        <v>9852</v>
      </c>
      <c r="AM14" s="140"/>
      <c r="AN14" s="102">
        <v>95596</v>
      </c>
      <c r="AO14" s="139">
        <v>97732</v>
      </c>
      <c r="AP14" s="140"/>
    </row>
    <row r="15" spans="1:42" ht="15" customHeight="1" thickBot="1">
      <c r="A15" s="26" t="s">
        <v>38</v>
      </c>
      <c r="B15" s="32" t="s">
        <v>32</v>
      </c>
      <c r="C15" s="33" t="s">
        <v>33</v>
      </c>
      <c r="D15" s="103">
        <v>119756</v>
      </c>
      <c r="E15" s="118" t="s">
        <v>34</v>
      </c>
      <c r="F15" s="72">
        <f>393480-6087</f>
        <v>387393</v>
      </c>
      <c r="G15" s="73">
        <f>G14/F14*100</f>
        <v>108.40219947873626</v>
      </c>
      <c r="H15" s="74">
        <f>G14/F15*100</f>
        <v>88.03850353516971</v>
      </c>
      <c r="I15" s="72">
        <v>106817</v>
      </c>
      <c r="J15" s="73">
        <f>J14/I14*100</f>
        <v>33.90204823972633</v>
      </c>
      <c r="K15" s="74">
        <f>J14/I15*100</f>
        <v>29.317430746042294</v>
      </c>
      <c r="L15" s="72">
        <f t="shared" si="0"/>
        <v>494210</v>
      </c>
      <c r="M15" s="73">
        <f>M14/L14*100</f>
        <v>91.49344458859142</v>
      </c>
      <c r="N15" s="74">
        <f>M14/L15*100</f>
        <v>75.34671495922785</v>
      </c>
      <c r="O15" s="72">
        <v>41007</v>
      </c>
      <c r="P15" s="73">
        <f>P14/O14*100</f>
        <v>69.05887757032073</v>
      </c>
      <c r="Q15" s="74">
        <f>P14/O15*100</f>
        <v>62.32594435096447</v>
      </c>
      <c r="R15" s="72">
        <v>85541</v>
      </c>
      <c r="S15" s="73">
        <f>S14/R14*100</f>
        <v>123.97930712034146</v>
      </c>
      <c r="T15" s="74">
        <f>S14/R15*100</f>
        <v>96.09660864380824</v>
      </c>
      <c r="U15" s="25"/>
      <c r="V15" s="35" t="s">
        <v>38</v>
      </c>
      <c r="W15" s="32" t="s">
        <v>32</v>
      </c>
      <c r="X15" s="33" t="s">
        <v>33</v>
      </c>
      <c r="Y15" s="72">
        <v>10524</v>
      </c>
      <c r="Z15" s="73">
        <f>Z14/Y14*100</f>
        <v>171.16402116402116</v>
      </c>
      <c r="AA15" s="74">
        <f>Z14/Y15*100</f>
        <v>92.21778791334093</v>
      </c>
      <c r="AB15" s="72">
        <v>60040</v>
      </c>
      <c r="AC15" s="73">
        <f>AC14/AB14*100</f>
        <v>97.34471226768517</v>
      </c>
      <c r="AD15" s="74">
        <f>AC14/AB15*100</f>
        <v>88.72085276482345</v>
      </c>
      <c r="AE15" s="72">
        <v>58821</v>
      </c>
      <c r="AF15" s="73">
        <f>AF14/AE14*100</f>
        <v>111.27475512976335</v>
      </c>
      <c r="AG15" s="74">
        <f>AF14/AE15*100</f>
        <v>79.37981333197327</v>
      </c>
      <c r="AH15" s="72">
        <v>35961</v>
      </c>
      <c r="AI15" s="73">
        <f>AI14/AH14*100</f>
        <v>143.72929871191985</v>
      </c>
      <c r="AJ15" s="74">
        <f>AI14/AH15*100</f>
        <v>97.74199827591002</v>
      </c>
      <c r="AK15" s="72">
        <v>10335</v>
      </c>
      <c r="AL15" s="73">
        <f>AL14/AK14*100</f>
        <v>98.02985074626865</v>
      </c>
      <c r="AM15" s="74">
        <f>AL14/AK15*100</f>
        <v>95.32656023222061</v>
      </c>
      <c r="AN15" s="103">
        <v>105944</v>
      </c>
      <c r="AO15" s="73">
        <f>AO14/AN14*100</f>
        <v>102.23440311310097</v>
      </c>
      <c r="AP15" s="74">
        <f>AO14/AN15*100</f>
        <v>92.24873518085026</v>
      </c>
    </row>
    <row r="16" spans="1:42" ht="15" customHeight="1">
      <c r="A16" s="30"/>
      <c r="B16" s="31" t="s">
        <v>29</v>
      </c>
      <c r="C16" s="10" t="s">
        <v>30</v>
      </c>
      <c r="D16" s="98">
        <v>5000</v>
      </c>
      <c r="E16" s="115">
        <v>-1965</v>
      </c>
      <c r="F16" s="104">
        <f>10370-265</f>
        <v>10105</v>
      </c>
      <c r="G16" s="139">
        <f>23642-13959</f>
        <v>9683</v>
      </c>
      <c r="H16" s="140"/>
      <c r="I16" s="100">
        <v>6590</v>
      </c>
      <c r="J16" s="139">
        <v>2893</v>
      </c>
      <c r="K16" s="140"/>
      <c r="L16" s="104">
        <f t="shared" si="0"/>
        <v>16695</v>
      </c>
      <c r="M16" s="139">
        <f>SUM(G16+J16)</f>
        <v>12576</v>
      </c>
      <c r="N16" s="140"/>
      <c r="O16" s="104">
        <v>2000</v>
      </c>
      <c r="P16" s="139">
        <v>1133</v>
      </c>
      <c r="Q16" s="140"/>
      <c r="R16" s="104">
        <v>3606</v>
      </c>
      <c r="S16" s="139">
        <v>3344</v>
      </c>
      <c r="T16" s="140"/>
      <c r="U16" s="25"/>
      <c r="V16" s="30"/>
      <c r="W16" s="31" t="s">
        <v>29</v>
      </c>
      <c r="X16" s="10" t="s">
        <v>30</v>
      </c>
      <c r="Y16" s="104">
        <v>356</v>
      </c>
      <c r="Z16" s="139">
        <v>931</v>
      </c>
      <c r="AA16" s="140"/>
      <c r="AB16" s="104">
        <v>50</v>
      </c>
      <c r="AC16" s="139">
        <v>39</v>
      </c>
      <c r="AD16" s="140"/>
      <c r="AE16" s="104">
        <v>1492</v>
      </c>
      <c r="AF16" s="139">
        <v>1213</v>
      </c>
      <c r="AG16" s="140"/>
      <c r="AH16" s="100">
        <v>1286</v>
      </c>
      <c r="AI16" s="139">
        <v>1114</v>
      </c>
      <c r="AJ16" s="140"/>
      <c r="AK16" s="100">
        <v>1099</v>
      </c>
      <c r="AL16" s="139">
        <v>1130</v>
      </c>
      <c r="AM16" s="140"/>
      <c r="AN16" s="98">
        <v>3407</v>
      </c>
      <c r="AO16" s="139">
        <v>3000</v>
      </c>
      <c r="AP16" s="140"/>
    </row>
    <row r="17" spans="1:42" ht="15" customHeight="1" thickBot="1">
      <c r="A17" s="26" t="s">
        <v>39</v>
      </c>
      <c r="B17" s="32" t="s">
        <v>32</v>
      </c>
      <c r="C17" s="33" t="s">
        <v>33</v>
      </c>
      <c r="D17" s="72">
        <v>0</v>
      </c>
      <c r="E17" s="116" t="s">
        <v>34</v>
      </c>
      <c r="F17" s="72">
        <f>11665-265</f>
        <v>11400</v>
      </c>
      <c r="G17" s="73">
        <f>G16/F16*100</f>
        <v>95.82384957941613</v>
      </c>
      <c r="H17" s="74">
        <f>G16/F17*100</f>
        <v>84.93859649122807</v>
      </c>
      <c r="I17" s="105">
        <v>3093</v>
      </c>
      <c r="J17" s="73">
        <f>J16/I16*100</f>
        <v>43.89984825493172</v>
      </c>
      <c r="K17" s="74">
        <f>J16/I17*100</f>
        <v>93.53378596831556</v>
      </c>
      <c r="L17" s="72">
        <f t="shared" si="0"/>
        <v>14493</v>
      </c>
      <c r="M17" s="73">
        <f>M16/L16*100</f>
        <v>75.32794249775382</v>
      </c>
      <c r="N17" s="74">
        <f>M16/L17*100</f>
        <v>86.77292486027739</v>
      </c>
      <c r="O17" s="72">
        <v>1460</v>
      </c>
      <c r="P17" s="73">
        <f>P16/O16*100</f>
        <v>56.65</v>
      </c>
      <c r="Q17" s="74">
        <f>P16/O17*100</f>
        <v>77.6027397260274</v>
      </c>
      <c r="R17" s="72">
        <v>3497</v>
      </c>
      <c r="S17" s="73">
        <f>S16/R16*100</f>
        <v>92.73433166943981</v>
      </c>
      <c r="T17" s="74">
        <f>S16/R17*100</f>
        <v>95.62482127537889</v>
      </c>
      <c r="U17" s="29"/>
      <c r="V17" s="26" t="s">
        <v>39</v>
      </c>
      <c r="W17" s="32" t="s">
        <v>32</v>
      </c>
      <c r="X17" s="33" t="s">
        <v>33</v>
      </c>
      <c r="Y17" s="72">
        <v>986</v>
      </c>
      <c r="Z17" s="73">
        <f>Z16/Y16*100</f>
        <v>261.5168539325843</v>
      </c>
      <c r="AA17" s="74">
        <f>Z16/Y17*100</f>
        <v>94.42190669371196</v>
      </c>
      <c r="AB17" s="72">
        <v>56</v>
      </c>
      <c r="AC17" s="73">
        <f>AC16/AB16*100</f>
        <v>78</v>
      </c>
      <c r="AD17" s="74">
        <f>AC16/AB17*100</f>
        <v>69.64285714285714</v>
      </c>
      <c r="AE17" s="72">
        <v>1278</v>
      </c>
      <c r="AF17" s="73">
        <f>AF16/AE16*100</f>
        <v>81.30026809651476</v>
      </c>
      <c r="AG17" s="74">
        <f>AF16/AE17*100</f>
        <v>94.91392801251956</v>
      </c>
      <c r="AH17" s="105">
        <v>1403</v>
      </c>
      <c r="AI17" s="73">
        <f>AI16/AH16*100</f>
        <v>86.62519440124416</v>
      </c>
      <c r="AJ17" s="74">
        <f>AI16/AH17*100</f>
        <v>79.40128296507484</v>
      </c>
      <c r="AK17" s="105">
        <v>1187</v>
      </c>
      <c r="AL17" s="73">
        <f>AL16/AK16*100</f>
        <v>102.82074613284804</v>
      </c>
      <c r="AM17" s="74">
        <f>AL16/AK17*100</f>
        <v>95.19797809604043</v>
      </c>
      <c r="AN17" s="99">
        <v>3403</v>
      </c>
      <c r="AO17" s="73">
        <f>AO16/AN16*100</f>
        <v>88.05400645729381</v>
      </c>
      <c r="AP17" s="74">
        <f>AO16/AN17*100</f>
        <v>88.15750808110491</v>
      </c>
    </row>
    <row r="18" spans="1:42" ht="15" customHeight="1">
      <c r="A18" s="30"/>
      <c r="B18" s="31" t="s">
        <v>29</v>
      </c>
      <c r="C18" s="10" t="s">
        <v>30</v>
      </c>
      <c r="D18" s="106">
        <v>13992</v>
      </c>
      <c r="E18" s="117">
        <v>7505</v>
      </c>
      <c r="F18" s="104">
        <f>99169-922</f>
        <v>98247</v>
      </c>
      <c r="G18" s="139">
        <f>293940-177806</f>
        <v>116134</v>
      </c>
      <c r="H18" s="140"/>
      <c r="I18" s="104">
        <v>9687</v>
      </c>
      <c r="J18" s="139">
        <v>10553</v>
      </c>
      <c r="K18" s="140"/>
      <c r="L18" s="104">
        <f t="shared" si="0"/>
        <v>107934</v>
      </c>
      <c r="M18" s="139">
        <f>SUM(G18+J18)</f>
        <v>126687</v>
      </c>
      <c r="N18" s="140"/>
      <c r="O18" s="104">
        <v>14900</v>
      </c>
      <c r="P18" s="139">
        <v>27192</v>
      </c>
      <c r="Q18" s="140"/>
      <c r="R18" s="104">
        <v>6970</v>
      </c>
      <c r="S18" s="139">
        <v>6343</v>
      </c>
      <c r="T18" s="140"/>
      <c r="U18" s="25"/>
      <c r="V18" s="30"/>
      <c r="W18" s="31" t="s">
        <v>29</v>
      </c>
      <c r="X18" s="10" t="s">
        <v>30</v>
      </c>
      <c r="Y18" s="104">
        <v>5474</v>
      </c>
      <c r="Z18" s="139">
        <v>2919</v>
      </c>
      <c r="AA18" s="140"/>
      <c r="AB18" s="104">
        <v>36979</v>
      </c>
      <c r="AC18" s="139">
        <v>43988</v>
      </c>
      <c r="AD18" s="140"/>
      <c r="AE18" s="104">
        <v>11346</v>
      </c>
      <c r="AF18" s="139">
        <v>11474</v>
      </c>
      <c r="AG18" s="140"/>
      <c r="AH18" s="104">
        <v>2097</v>
      </c>
      <c r="AI18" s="139">
        <v>6037</v>
      </c>
      <c r="AJ18" s="140"/>
      <c r="AK18" s="104">
        <v>2965</v>
      </c>
      <c r="AL18" s="139">
        <v>2607</v>
      </c>
      <c r="AM18" s="140"/>
      <c r="AN18" s="102">
        <v>22074</v>
      </c>
      <c r="AO18" s="139">
        <v>20913</v>
      </c>
      <c r="AP18" s="140"/>
    </row>
    <row r="19" spans="1:42" ht="15" customHeight="1" thickBot="1">
      <c r="A19" s="26" t="s">
        <v>41</v>
      </c>
      <c r="B19" s="32" t="s">
        <v>32</v>
      </c>
      <c r="C19" s="33" t="s">
        <v>33</v>
      </c>
      <c r="D19" s="72">
        <v>20964</v>
      </c>
      <c r="E19" s="118" t="s">
        <v>34</v>
      </c>
      <c r="F19" s="72">
        <f>128326-982</f>
        <v>127344</v>
      </c>
      <c r="G19" s="73">
        <f>G18/F18*100</f>
        <v>118.20615387747209</v>
      </c>
      <c r="H19" s="74">
        <f>G18/F19*100</f>
        <v>91.19707249654479</v>
      </c>
      <c r="I19" s="72">
        <v>13592</v>
      </c>
      <c r="J19" s="73">
        <f>J18/I18*100</f>
        <v>108.93981624858058</v>
      </c>
      <c r="K19" s="74">
        <f>J18/I19*100</f>
        <v>77.64125956444967</v>
      </c>
      <c r="L19" s="72">
        <f t="shared" si="0"/>
        <v>140936</v>
      </c>
      <c r="M19" s="73">
        <f>M18/L18*100</f>
        <v>117.37450664294846</v>
      </c>
      <c r="N19" s="74">
        <f>M18/L19*100</f>
        <v>89.88973718567293</v>
      </c>
      <c r="O19" s="72">
        <v>28343</v>
      </c>
      <c r="P19" s="73">
        <f>P18/O18*100</f>
        <v>182.49664429530202</v>
      </c>
      <c r="Q19" s="74">
        <f>P18/O19*100</f>
        <v>95.93903256536005</v>
      </c>
      <c r="R19" s="72">
        <v>7551</v>
      </c>
      <c r="S19" s="73">
        <f>S18/R18*100</f>
        <v>91.00430416068866</v>
      </c>
      <c r="T19" s="74">
        <f>S18/R19*100</f>
        <v>84.00211892464574</v>
      </c>
      <c r="U19" s="29"/>
      <c r="V19" s="26" t="s">
        <v>41</v>
      </c>
      <c r="W19" s="32" t="s">
        <v>32</v>
      </c>
      <c r="X19" s="33" t="s">
        <v>33</v>
      </c>
      <c r="Y19" s="72">
        <v>3828</v>
      </c>
      <c r="Z19" s="73">
        <f>Z18/Y18*100</f>
        <v>53.32480818414322</v>
      </c>
      <c r="AA19" s="74">
        <f>Z18/Y19*100</f>
        <v>76.2539184952978</v>
      </c>
      <c r="AB19" s="72">
        <v>52298</v>
      </c>
      <c r="AC19" s="73">
        <f>AC18/AB18*100</f>
        <v>118.95400091944077</v>
      </c>
      <c r="AD19" s="74">
        <f>AC18/AB19*100</f>
        <v>84.11029102451336</v>
      </c>
      <c r="AE19" s="72">
        <v>12474</v>
      </c>
      <c r="AF19" s="73">
        <f>AF18/AE18*100</f>
        <v>101.12815089018157</v>
      </c>
      <c r="AG19" s="74">
        <f>AF18/AE19*100</f>
        <v>91.98332531665865</v>
      </c>
      <c r="AH19" s="72">
        <v>6238</v>
      </c>
      <c r="AI19" s="73">
        <f>AI18/AH18*100</f>
        <v>287.88745827372435</v>
      </c>
      <c r="AJ19" s="74">
        <f>AI18/AH19*100</f>
        <v>96.77781340173132</v>
      </c>
      <c r="AK19" s="72">
        <v>2824</v>
      </c>
      <c r="AL19" s="73">
        <f>AL18/AK18*100</f>
        <v>87.92580101180438</v>
      </c>
      <c r="AM19" s="74">
        <f>AL18/AK19*100</f>
        <v>92.31586402266288</v>
      </c>
      <c r="AN19" s="103">
        <v>21683</v>
      </c>
      <c r="AO19" s="73">
        <f>AO18/AN18*100</f>
        <v>94.7404185920087</v>
      </c>
      <c r="AP19" s="74">
        <f>AO18/AN19*100</f>
        <v>96.44883088133561</v>
      </c>
    </row>
    <row r="20" spans="1:42" ht="15" customHeight="1">
      <c r="A20" s="30"/>
      <c r="B20" s="31" t="s">
        <v>29</v>
      </c>
      <c r="C20" s="10" t="s">
        <v>30</v>
      </c>
      <c r="D20" s="98">
        <v>5000</v>
      </c>
      <c r="E20" s="115">
        <v>-3927</v>
      </c>
      <c r="F20" s="104">
        <f>26139-480</f>
        <v>25659</v>
      </c>
      <c r="G20" s="139">
        <f>63390-34470</f>
        <v>28920</v>
      </c>
      <c r="H20" s="140"/>
      <c r="I20" s="100">
        <v>5500</v>
      </c>
      <c r="J20" s="139">
        <v>7497</v>
      </c>
      <c r="K20" s="140"/>
      <c r="L20" s="104">
        <f t="shared" si="0"/>
        <v>31159</v>
      </c>
      <c r="M20" s="139">
        <f>SUM(G20+J20)</f>
        <v>36417</v>
      </c>
      <c r="N20" s="140"/>
      <c r="O20" s="104">
        <v>6020</v>
      </c>
      <c r="P20" s="139">
        <v>17927</v>
      </c>
      <c r="Q20" s="140"/>
      <c r="R20" s="104">
        <v>4211</v>
      </c>
      <c r="S20" s="139">
        <v>4244</v>
      </c>
      <c r="T20" s="140"/>
      <c r="U20" s="25"/>
      <c r="V20" s="4"/>
      <c r="W20" s="31" t="s">
        <v>29</v>
      </c>
      <c r="X20" s="10" t="s">
        <v>30</v>
      </c>
      <c r="Y20" s="104">
        <v>830</v>
      </c>
      <c r="Z20" s="139">
        <v>1875</v>
      </c>
      <c r="AA20" s="140"/>
      <c r="AB20" s="104">
        <v>1460</v>
      </c>
      <c r="AC20" s="139">
        <v>776</v>
      </c>
      <c r="AD20" s="140"/>
      <c r="AE20" s="104">
        <v>2450</v>
      </c>
      <c r="AF20" s="139">
        <v>3602</v>
      </c>
      <c r="AG20" s="140"/>
      <c r="AH20" s="100">
        <v>430</v>
      </c>
      <c r="AI20" s="139">
        <v>469</v>
      </c>
      <c r="AJ20" s="140"/>
      <c r="AK20" s="100">
        <v>1000</v>
      </c>
      <c r="AL20" s="139">
        <v>1085</v>
      </c>
      <c r="AM20" s="140"/>
      <c r="AN20" s="98">
        <v>4700</v>
      </c>
      <c r="AO20" s="139">
        <v>4348</v>
      </c>
      <c r="AP20" s="140"/>
    </row>
    <row r="21" spans="1:42" ht="15" customHeight="1" thickBot="1">
      <c r="A21" s="26" t="s">
        <v>42</v>
      </c>
      <c r="B21" s="32" t="s">
        <v>32</v>
      </c>
      <c r="C21" s="33" t="s">
        <v>33</v>
      </c>
      <c r="D21" s="99">
        <v>7623</v>
      </c>
      <c r="E21" s="116" t="s">
        <v>34</v>
      </c>
      <c r="F21" s="72">
        <f>38939-480</f>
        <v>38459</v>
      </c>
      <c r="G21" s="73">
        <f>G20/F20*100</f>
        <v>112.70899099731089</v>
      </c>
      <c r="H21" s="74">
        <f>G20/F21*100</f>
        <v>75.19696299955797</v>
      </c>
      <c r="I21" s="105">
        <v>9904</v>
      </c>
      <c r="J21" s="73">
        <f>J20/I20*100</f>
        <v>136.3090909090909</v>
      </c>
      <c r="K21" s="74">
        <f>J20/I21*100</f>
        <v>75.69668820678514</v>
      </c>
      <c r="L21" s="72">
        <f t="shared" si="0"/>
        <v>48363</v>
      </c>
      <c r="M21" s="73">
        <f>M20/L20*100</f>
        <v>116.87473924066882</v>
      </c>
      <c r="N21" s="74">
        <f>M20/L21*100</f>
        <v>75.29929905092736</v>
      </c>
      <c r="O21" s="72">
        <v>18043</v>
      </c>
      <c r="P21" s="73">
        <f>P20/O20*100</f>
        <v>297.7906976744186</v>
      </c>
      <c r="Q21" s="74">
        <f>P20/O21*100</f>
        <v>99.3570913927839</v>
      </c>
      <c r="R21" s="72">
        <v>4493</v>
      </c>
      <c r="S21" s="73">
        <f>S20/R20*100</f>
        <v>100.78366183804322</v>
      </c>
      <c r="T21" s="74">
        <f>S20/R21*100</f>
        <v>94.4580458490986</v>
      </c>
      <c r="U21" s="29"/>
      <c r="V21" s="26" t="s">
        <v>42</v>
      </c>
      <c r="W21" s="32" t="s">
        <v>32</v>
      </c>
      <c r="X21" s="33" t="s">
        <v>33</v>
      </c>
      <c r="Y21" s="72">
        <v>2098</v>
      </c>
      <c r="Z21" s="73">
        <f>Z20/Y20*100</f>
        <v>225.90361445783134</v>
      </c>
      <c r="AA21" s="74">
        <f>Z20/Y21*100</f>
        <v>89.37082936129647</v>
      </c>
      <c r="AB21" s="72">
        <v>1460</v>
      </c>
      <c r="AC21" s="73">
        <f>AC20/AB20*100</f>
        <v>53.15068493150685</v>
      </c>
      <c r="AD21" s="74">
        <f>AC20/AB21*100</f>
        <v>53.15068493150685</v>
      </c>
      <c r="AE21" s="72">
        <v>3608</v>
      </c>
      <c r="AF21" s="73">
        <f>AF20/AE20*100</f>
        <v>147.0204081632653</v>
      </c>
      <c r="AG21" s="74">
        <f>AF20/AE21*100</f>
        <v>99.83370288248337</v>
      </c>
      <c r="AH21" s="105">
        <v>629</v>
      </c>
      <c r="AI21" s="73">
        <f>AI20/AH20*100</f>
        <v>109.06976744186045</v>
      </c>
      <c r="AJ21" s="74">
        <f>AI20/AH21*100</f>
        <v>74.56279809220986</v>
      </c>
      <c r="AK21" s="105">
        <v>1087</v>
      </c>
      <c r="AL21" s="73">
        <f>AL20/AK20*100</f>
        <v>108.5</v>
      </c>
      <c r="AM21" s="74">
        <f>AL20/AK21*100</f>
        <v>99.81600735970562</v>
      </c>
      <c r="AN21" s="99">
        <v>4700</v>
      </c>
      <c r="AO21" s="73">
        <f>AO20/AN20*100</f>
        <v>92.51063829787233</v>
      </c>
      <c r="AP21" s="74">
        <f>AO20/AN21*100</f>
        <v>92.51063829787233</v>
      </c>
    </row>
    <row r="22" spans="1:42" ht="15" customHeight="1">
      <c r="A22" s="30"/>
      <c r="B22" s="31" t="s">
        <v>29</v>
      </c>
      <c r="C22" s="10" t="s">
        <v>30</v>
      </c>
      <c r="D22" s="102">
        <v>800</v>
      </c>
      <c r="E22" s="117">
        <v>75</v>
      </c>
      <c r="F22" s="104">
        <f>6726-110</f>
        <v>6616</v>
      </c>
      <c r="G22" s="139">
        <f>15052-8019</f>
        <v>7033</v>
      </c>
      <c r="H22" s="140"/>
      <c r="I22" s="104">
        <v>1010</v>
      </c>
      <c r="J22" s="139">
        <v>704</v>
      </c>
      <c r="K22" s="140"/>
      <c r="L22" s="104">
        <f t="shared" si="0"/>
        <v>7626</v>
      </c>
      <c r="M22" s="139">
        <f>SUM(G22+J22)</f>
        <v>7737</v>
      </c>
      <c r="N22" s="140"/>
      <c r="O22" s="104">
        <v>1375</v>
      </c>
      <c r="P22" s="139">
        <v>1025</v>
      </c>
      <c r="Q22" s="140"/>
      <c r="R22" s="104">
        <v>12</v>
      </c>
      <c r="S22" s="139">
        <v>13</v>
      </c>
      <c r="T22" s="140"/>
      <c r="U22" s="25"/>
      <c r="V22" s="30"/>
      <c r="W22" s="31" t="s">
        <v>29</v>
      </c>
      <c r="X22" s="10" t="s">
        <v>30</v>
      </c>
      <c r="Y22" s="104">
        <v>377</v>
      </c>
      <c r="Z22" s="139">
        <v>341</v>
      </c>
      <c r="AA22" s="140"/>
      <c r="AB22" s="104">
        <v>0</v>
      </c>
      <c r="AC22" s="139">
        <v>0</v>
      </c>
      <c r="AD22" s="140"/>
      <c r="AE22" s="104">
        <v>967</v>
      </c>
      <c r="AF22" s="139">
        <v>1366</v>
      </c>
      <c r="AG22" s="140"/>
      <c r="AH22" s="104">
        <v>0</v>
      </c>
      <c r="AI22" s="139">
        <v>146</v>
      </c>
      <c r="AJ22" s="140"/>
      <c r="AK22" s="104">
        <v>1036</v>
      </c>
      <c r="AL22" s="139">
        <v>990</v>
      </c>
      <c r="AM22" s="140"/>
      <c r="AN22" s="102">
        <v>3108</v>
      </c>
      <c r="AO22" s="139">
        <v>2898</v>
      </c>
      <c r="AP22" s="140"/>
    </row>
    <row r="23" spans="1:42" ht="15" customHeight="1" thickBot="1">
      <c r="A23" s="26" t="s">
        <v>43</v>
      </c>
      <c r="B23" s="32" t="s">
        <v>32</v>
      </c>
      <c r="C23" s="33" t="s">
        <v>33</v>
      </c>
      <c r="D23" s="103">
        <v>799</v>
      </c>
      <c r="E23" s="118" t="s">
        <v>34</v>
      </c>
      <c r="F23" s="72">
        <f>7584-110</f>
        <v>7474</v>
      </c>
      <c r="G23" s="73">
        <f>G22/F22*100</f>
        <v>106.30290205562274</v>
      </c>
      <c r="H23" s="74">
        <f>G22/F23*100</f>
        <v>94.0995450896441</v>
      </c>
      <c r="I23" s="72">
        <v>715</v>
      </c>
      <c r="J23" s="73">
        <f>J22/I22*100</f>
        <v>69.7029702970297</v>
      </c>
      <c r="K23" s="74">
        <f>J22/I23*100</f>
        <v>98.46153846153847</v>
      </c>
      <c r="L23" s="72">
        <f t="shared" si="0"/>
        <v>8189</v>
      </c>
      <c r="M23" s="73">
        <f>M22/L22*100</f>
        <v>101.45554681353266</v>
      </c>
      <c r="N23" s="74">
        <f>M22/L23*100</f>
        <v>94.48040053730614</v>
      </c>
      <c r="O23" s="72">
        <v>1092</v>
      </c>
      <c r="P23" s="73">
        <f>P22/O22*100</f>
        <v>74.54545454545455</v>
      </c>
      <c r="Q23" s="74">
        <f>P22/O23*100</f>
        <v>93.86446886446886</v>
      </c>
      <c r="R23" s="72">
        <v>15</v>
      </c>
      <c r="S23" s="73">
        <f>S22/R22*100</f>
        <v>108.33333333333333</v>
      </c>
      <c r="T23" s="74">
        <f>S22/R23*100</f>
        <v>86.66666666666667</v>
      </c>
      <c r="U23" s="29"/>
      <c r="V23" s="26" t="s">
        <v>43</v>
      </c>
      <c r="W23" s="32" t="s">
        <v>32</v>
      </c>
      <c r="X23" s="33" t="s">
        <v>33</v>
      </c>
      <c r="Y23" s="72">
        <v>415</v>
      </c>
      <c r="Z23" s="73">
        <f>Z22/Y22*100</f>
        <v>90.45092838196287</v>
      </c>
      <c r="AA23" s="74">
        <f>Z22/Y23*100</f>
        <v>82.16867469879519</v>
      </c>
      <c r="AB23" s="72">
        <v>0</v>
      </c>
      <c r="AC23" s="73" t="s">
        <v>40</v>
      </c>
      <c r="AD23" s="74" t="s">
        <v>34</v>
      </c>
      <c r="AE23" s="72">
        <v>1414</v>
      </c>
      <c r="AF23" s="73">
        <f>AF22/AE22*100</f>
        <v>141.26163391933818</v>
      </c>
      <c r="AG23" s="74">
        <f>AF22/AE23*100</f>
        <v>96.60537482319661</v>
      </c>
      <c r="AH23" s="72">
        <v>146</v>
      </c>
      <c r="AI23" s="73" t="s">
        <v>40</v>
      </c>
      <c r="AJ23" s="74">
        <f>AI22/AH23*100</f>
        <v>100</v>
      </c>
      <c r="AK23" s="72">
        <v>1048</v>
      </c>
      <c r="AL23" s="73">
        <f>AL22/AK22*100</f>
        <v>95.55984555984556</v>
      </c>
      <c r="AM23" s="74">
        <f>AL22/AK23*100</f>
        <v>94.46564885496184</v>
      </c>
      <c r="AN23" s="103">
        <v>3058</v>
      </c>
      <c r="AO23" s="73">
        <f>AO22/AN22*100</f>
        <v>93.24324324324324</v>
      </c>
      <c r="AP23" s="74">
        <f>AO22/AN23*100</f>
        <v>94.76782210595161</v>
      </c>
    </row>
    <row r="24" spans="1:42" ht="15" customHeight="1">
      <c r="A24" s="30" t="s">
        <v>44</v>
      </c>
      <c r="B24" s="31" t="s">
        <v>29</v>
      </c>
      <c r="C24" s="10" t="s">
        <v>30</v>
      </c>
      <c r="D24" s="98">
        <v>36520</v>
      </c>
      <c r="E24" s="115">
        <v>-3447</v>
      </c>
      <c r="F24" s="104">
        <f>178237-1263</f>
        <v>176974</v>
      </c>
      <c r="G24" s="139">
        <f>501182-319351</f>
        <v>181831</v>
      </c>
      <c r="H24" s="140"/>
      <c r="I24" s="100">
        <v>48191</v>
      </c>
      <c r="J24" s="139">
        <v>27694</v>
      </c>
      <c r="K24" s="140"/>
      <c r="L24" s="104">
        <f t="shared" si="0"/>
        <v>225165</v>
      </c>
      <c r="M24" s="139">
        <f>SUM(G24+J24)</f>
        <v>209525</v>
      </c>
      <c r="N24" s="140"/>
      <c r="O24" s="104">
        <v>32750</v>
      </c>
      <c r="P24" s="139">
        <v>17546</v>
      </c>
      <c r="Q24" s="140"/>
      <c r="R24" s="104">
        <v>27783</v>
      </c>
      <c r="S24" s="139">
        <v>26597</v>
      </c>
      <c r="T24" s="140"/>
      <c r="U24" s="25"/>
      <c r="V24" s="30" t="s">
        <v>45</v>
      </c>
      <c r="W24" s="31" t="s">
        <v>29</v>
      </c>
      <c r="X24" s="10" t="s">
        <v>30</v>
      </c>
      <c r="Y24" s="104">
        <v>1551</v>
      </c>
      <c r="Z24" s="139">
        <v>1912</v>
      </c>
      <c r="AA24" s="140"/>
      <c r="AB24" s="104">
        <v>111092</v>
      </c>
      <c r="AC24" s="139">
        <v>100452</v>
      </c>
      <c r="AD24" s="140"/>
      <c r="AE24" s="104">
        <v>9210</v>
      </c>
      <c r="AF24" s="139">
        <v>15709</v>
      </c>
      <c r="AG24" s="140"/>
      <c r="AH24" s="100">
        <v>6915</v>
      </c>
      <c r="AI24" s="139">
        <v>10286</v>
      </c>
      <c r="AJ24" s="140"/>
      <c r="AK24" s="100">
        <v>4531</v>
      </c>
      <c r="AL24" s="139">
        <v>4319</v>
      </c>
      <c r="AM24" s="140"/>
      <c r="AN24" s="98">
        <v>29962</v>
      </c>
      <c r="AO24" s="139">
        <v>30397</v>
      </c>
      <c r="AP24" s="140"/>
    </row>
    <row r="25" spans="1:42" ht="15" customHeight="1" thickBot="1">
      <c r="A25" s="26" t="s">
        <v>46</v>
      </c>
      <c r="B25" s="32" t="s">
        <v>32</v>
      </c>
      <c r="C25" s="33" t="s">
        <v>33</v>
      </c>
      <c r="D25" s="98">
        <v>41370</v>
      </c>
      <c r="E25" s="116" t="s">
        <v>34</v>
      </c>
      <c r="F25" s="72">
        <f>219909-1362</f>
        <v>218547</v>
      </c>
      <c r="G25" s="73">
        <f>G24/F24*100</f>
        <v>102.74447093923402</v>
      </c>
      <c r="H25" s="74">
        <f>G24/F25*100</f>
        <v>83.1999524129821</v>
      </c>
      <c r="I25" s="105">
        <v>33427</v>
      </c>
      <c r="J25" s="73">
        <f>J24/I24*100</f>
        <v>57.467161918200496</v>
      </c>
      <c r="K25" s="74">
        <f>J24/I25*100</f>
        <v>82.84919376551889</v>
      </c>
      <c r="L25" s="72">
        <f t="shared" si="0"/>
        <v>251974</v>
      </c>
      <c r="M25" s="73" t="s">
        <v>1</v>
      </c>
      <c r="N25" s="74">
        <f>M24/L25*100</f>
        <v>83.15342059101336</v>
      </c>
      <c r="O25" s="72">
        <v>22430</v>
      </c>
      <c r="P25" s="73">
        <f>P24/O24*100</f>
        <v>53.57557251908397</v>
      </c>
      <c r="Q25" s="74">
        <f>P24/O25*100</f>
        <v>78.2255907267053</v>
      </c>
      <c r="R25" s="72">
        <v>31758</v>
      </c>
      <c r="S25" s="73">
        <f>S24/R24*100</f>
        <v>95.73120253392362</v>
      </c>
      <c r="T25" s="74">
        <f>S24/R25*100</f>
        <v>83.7489766358083</v>
      </c>
      <c r="U25" s="29"/>
      <c r="V25" s="26" t="s">
        <v>47</v>
      </c>
      <c r="W25" s="32" t="s">
        <v>32</v>
      </c>
      <c r="X25" s="33" t="s">
        <v>33</v>
      </c>
      <c r="Y25" s="72">
        <v>2474</v>
      </c>
      <c r="Z25" s="73" t="s">
        <v>1</v>
      </c>
      <c r="AA25" s="74">
        <f>Z24/Y25*100</f>
        <v>77.28375101050929</v>
      </c>
      <c r="AB25" s="72">
        <v>114411</v>
      </c>
      <c r="AC25" s="73">
        <f>AC24/AB24*100</f>
        <v>90.42235264465488</v>
      </c>
      <c r="AD25" s="74">
        <f>AC24/AB25*100</f>
        <v>87.79925007210845</v>
      </c>
      <c r="AE25" s="72">
        <v>20496</v>
      </c>
      <c r="AF25" s="73">
        <f>AF24/AE24*100</f>
        <v>170.56460369163952</v>
      </c>
      <c r="AG25" s="74">
        <f>AF24/AE25*100</f>
        <v>76.64422326307572</v>
      </c>
      <c r="AH25" s="105">
        <v>12994</v>
      </c>
      <c r="AI25" s="73">
        <f>AI24/AH24*100</f>
        <v>148.74909616775128</v>
      </c>
      <c r="AJ25" s="74">
        <f>AI24/AH25*100</f>
        <v>79.15961212867477</v>
      </c>
      <c r="AK25" s="105">
        <v>5264</v>
      </c>
      <c r="AL25" s="73">
        <f>AL24/AK24*100</f>
        <v>95.32112116530567</v>
      </c>
      <c r="AM25" s="74">
        <f>AL24/AK25*100</f>
        <v>82.04787234042553</v>
      </c>
      <c r="AN25" s="99">
        <v>36848</v>
      </c>
      <c r="AO25" s="73">
        <f>AO24/AN24*100</f>
        <v>101.45183899606167</v>
      </c>
      <c r="AP25" s="74">
        <f>AO24/AN25*100</f>
        <v>82.49294398610509</v>
      </c>
    </row>
    <row r="26" spans="1:42" ht="15" customHeight="1">
      <c r="A26" s="30"/>
      <c r="B26" s="31" t="s">
        <v>29</v>
      </c>
      <c r="C26" s="10" t="s">
        <v>30</v>
      </c>
      <c r="D26" s="102">
        <v>0</v>
      </c>
      <c r="E26" s="117">
        <v>-402</v>
      </c>
      <c r="F26" s="104">
        <f>16936-155</f>
        <v>16781</v>
      </c>
      <c r="G26" s="139">
        <f>20249-1803</f>
        <v>18446</v>
      </c>
      <c r="H26" s="140"/>
      <c r="I26" s="104">
        <v>1320</v>
      </c>
      <c r="J26" s="139">
        <v>17194</v>
      </c>
      <c r="K26" s="140"/>
      <c r="L26" s="104">
        <f>SUM(F26+I26)</f>
        <v>18101</v>
      </c>
      <c r="M26" s="139">
        <f>SUM(G26+J26)</f>
        <v>35640</v>
      </c>
      <c r="N26" s="140"/>
      <c r="O26" s="104">
        <v>1550</v>
      </c>
      <c r="P26" s="139">
        <v>5156</v>
      </c>
      <c r="Q26" s="140"/>
      <c r="R26" s="104">
        <v>3906</v>
      </c>
      <c r="S26" s="139">
        <v>17526</v>
      </c>
      <c r="T26" s="140"/>
      <c r="U26" s="25"/>
      <c r="V26" s="30"/>
      <c r="W26" s="31" t="s">
        <v>29</v>
      </c>
      <c r="X26" s="10" t="s">
        <v>30</v>
      </c>
      <c r="Y26" s="104">
        <v>1582</v>
      </c>
      <c r="Z26" s="139">
        <v>1806</v>
      </c>
      <c r="AA26" s="140"/>
      <c r="AB26" s="104">
        <v>1545</v>
      </c>
      <c r="AC26" s="139">
        <v>1843</v>
      </c>
      <c r="AD26" s="140"/>
      <c r="AE26" s="104">
        <v>2499</v>
      </c>
      <c r="AF26" s="139">
        <v>2692</v>
      </c>
      <c r="AG26" s="140"/>
      <c r="AH26" s="104">
        <v>0</v>
      </c>
      <c r="AI26" s="139">
        <v>180</v>
      </c>
      <c r="AJ26" s="140"/>
      <c r="AK26" s="104">
        <v>1184</v>
      </c>
      <c r="AL26" s="139">
        <v>1202</v>
      </c>
      <c r="AM26" s="140"/>
      <c r="AN26" s="102">
        <v>4322</v>
      </c>
      <c r="AO26" s="139">
        <v>3972</v>
      </c>
      <c r="AP26" s="140"/>
    </row>
    <row r="27" spans="1:42" ht="15" customHeight="1" thickBot="1">
      <c r="A27" s="26" t="s">
        <v>48</v>
      </c>
      <c r="B27" s="32" t="s">
        <v>32</v>
      </c>
      <c r="C27" s="33" t="s">
        <v>33</v>
      </c>
      <c r="D27" s="103">
        <v>2322</v>
      </c>
      <c r="E27" s="118" t="s">
        <v>34</v>
      </c>
      <c r="F27" s="72">
        <f>20706-155</f>
        <v>20551</v>
      </c>
      <c r="G27" s="73">
        <f>G26/F26*100</f>
        <v>109.9219355223169</v>
      </c>
      <c r="H27" s="74">
        <f>G26/F27*100</f>
        <v>89.75718943117124</v>
      </c>
      <c r="I27" s="72">
        <v>17425</v>
      </c>
      <c r="J27" s="73">
        <f>J26/I26*100</f>
        <v>1302.5757575757575</v>
      </c>
      <c r="K27" s="74">
        <f>J26/I27*100</f>
        <v>98.67431850789096</v>
      </c>
      <c r="L27" s="72">
        <f t="shared" si="0"/>
        <v>37976</v>
      </c>
      <c r="M27" s="73">
        <f>M26/L26*100</f>
        <v>196.8951991602674</v>
      </c>
      <c r="N27" s="74">
        <f>M26/L27*100</f>
        <v>93.84874657678533</v>
      </c>
      <c r="O27" s="72">
        <v>5433</v>
      </c>
      <c r="P27" s="73">
        <f>P26/O26*100</f>
        <v>332.6451612903226</v>
      </c>
      <c r="Q27" s="74">
        <f>P26/O27*100</f>
        <v>94.90152770108595</v>
      </c>
      <c r="R27" s="72">
        <v>17543</v>
      </c>
      <c r="S27" s="73">
        <f>S26/R26*100</f>
        <v>448.69431643625194</v>
      </c>
      <c r="T27" s="74">
        <f>S26/R27*100</f>
        <v>99.90309525166732</v>
      </c>
      <c r="U27" s="29"/>
      <c r="V27" s="26" t="s">
        <v>48</v>
      </c>
      <c r="W27" s="32" t="s">
        <v>32</v>
      </c>
      <c r="X27" s="33" t="s">
        <v>33</v>
      </c>
      <c r="Y27" s="72">
        <v>2046</v>
      </c>
      <c r="Z27" s="73">
        <f>Z26/Y26*100</f>
        <v>114.15929203539822</v>
      </c>
      <c r="AA27" s="74">
        <f>Z26/Y27*100</f>
        <v>88.26979472140762</v>
      </c>
      <c r="AB27" s="72">
        <v>2174</v>
      </c>
      <c r="AC27" s="73">
        <f>AC26/AB26*100</f>
        <v>119.28802588996763</v>
      </c>
      <c r="AD27" s="74">
        <f>AC26/AB27*100</f>
        <v>84.77460901563938</v>
      </c>
      <c r="AE27" s="72">
        <v>3390</v>
      </c>
      <c r="AF27" s="73">
        <f>AF26/AE26*100</f>
        <v>107.72308923569427</v>
      </c>
      <c r="AG27" s="74">
        <f>AF26/AE27*100</f>
        <v>79.41002949852506</v>
      </c>
      <c r="AH27" s="72">
        <v>181</v>
      </c>
      <c r="AI27" s="73" t="s">
        <v>40</v>
      </c>
      <c r="AJ27" s="74">
        <f>AI26/AH27*100</f>
        <v>99.4475138121547</v>
      </c>
      <c r="AK27" s="72">
        <v>1209</v>
      </c>
      <c r="AL27" s="73">
        <f>AL26/AK26*100</f>
        <v>101.52027027027026</v>
      </c>
      <c r="AM27" s="74">
        <f>AL26/AK27*100</f>
        <v>99.42100909842844</v>
      </c>
      <c r="AN27" s="103">
        <v>4351</v>
      </c>
      <c r="AO27" s="73">
        <f>AO26/AN26*100</f>
        <v>91.90189726978251</v>
      </c>
      <c r="AP27" s="74">
        <f>AO26/AN27*100</f>
        <v>91.28935876809928</v>
      </c>
    </row>
    <row r="28" spans="1:42" ht="15" customHeight="1">
      <c r="A28" s="30"/>
      <c r="B28" s="31" t="s">
        <v>29</v>
      </c>
      <c r="C28" s="10" t="s">
        <v>30</v>
      </c>
      <c r="D28" s="98">
        <v>0</v>
      </c>
      <c r="E28" s="115">
        <v>415</v>
      </c>
      <c r="F28" s="104">
        <f>8642-340</f>
        <v>8302</v>
      </c>
      <c r="G28" s="139">
        <f>19455-9967</f>
        <v>9488</v>
      </c>
      <c r="H28" s="140"/>
      <c r="I28" s="100">
        <v>1000</v>
      </c>
      <c r="J28" s="139">
        <v>1064</v>
      </c>
      <c r="K28" s="140"/>
      <c r="L28" s="104">
        <f t="shared" si="0"/>
        <v>9302</v>
      </c>
      <c r="M28" s="139">
        <f>SUM(G28+J28)</f>
        <v>10552</v>
      </c>
      <c r="N28" s="140"/>
      <c r="O28" s="104">
        <v>671</v>
      </c>
      <c r="P28" s="139">
        <v>1100</v>
      </c>
      <c r="Q28" s="140"/>
      <c r="R28" s="104">
        <v>982</v>
      </c>
      <c r="S28" s="139">
        <v>1112</v>
      </c>
      <c r="T28" s="140"/>
      <c r="U28" s="25"/>
      <c r="V28" s="30"/>
      <c r="W28" s="31" t="s">
        <v>29</v>
      </c>
      <c r="X28" s="10" t="s">
        <v>30</v>
      </c>
      <c r="Y28" s="104">
        <v>1746</v>
      </c>
      <c r="Z28" s="139">
        <v>1756</v>
      </c>
      <c r="AA28" s="140"/>
      <c r="AB28" s="104">
        <v>0</v>
      </c>
      <c r="AC28" s="139">
        <v>0</v>
      </c>
      <c r="AD28" s="140"/>
      <c r="AE28" s="104">
        <v>1893</v>
      </c>
      <c r="AF28" s="139">
        <v>2404</v>
      </c>
      <c r="AG28" s="140"/>
      <c r="AH28" s="100">
        <v>2</v>
      </c>
      <c r="AI28" s="139">
        <v>73</v>
      </c>
      <c r="AJ28" s="140"/>
      <c r="AK28" s="100">
        <v>1024</v>
      </c>
      <c r="AL28" s="139">
        <v>1005</v>
      </c>
      <c r="AM28" s="140"/>
      <c r="AN28" s="98">
        <v>2695</v>
      </c>
      <c r="AO28" s="139">
        <v>2740</v>
      </c>
      <c r="AP28" s="140"/>
    </row>
    <row r="29" spans="1:42" ht="15" customHeight="1" thickBot="1">
      <c r="A29" s="26" t="s">
        <v>49</v>
      </c>
      <c r="B29" s="36" t="s">
        <v>32</v>
      </c>
      <c r="C29" s="37" t="s">
        <v>33</v>
      </c>
      <c r="D29" s="99">
        <v>827</v>
      </c>
      <c r="E29" s="116" t="s">
        <v>34</v>
      </c>
      <c r="F29" s="105">
        <f>10236-340</f>
        <v>9896</v>
      </c>
      <c r="G29" s="73">
        <f>G28/F28*100</f>
        <v>114.28571428571428</v>
      </c>
      <c r="H29" s="74">
        <f>G28/F29*100</f>
        <v>95.87712206952304</v>
      </c>
      <c r="I29" s="105">
        <v>1174</v>
      </c>
      <c r="J29" s="73">
        <f>J28/I28*100</f>
        <v>106.4</v>
      </c>
      <c r="K29" s="74">
        <f>J28/I29*100</f>
        <v>90.63032367972743</v>
      </c>
      <c r="L29" s="72">
        <f t="shared" si="0"/>
        <v>11070</v>
      </c>
      <c r="M29" s="73">
        <f>M28/L28*100</f>
        <v>113.43797032896153</v>
      </c>
      <c r="N29" s="74">
        <f>M28/L29*100</f>
        <v>95.32068654019874</v>
      </c>
      <c r="O29" s="72">
        <v>1151</v>
      </c>
      <c r="P29" s="73">
        <f>P28/O28*100</f>
        <v>163.9344262295082</v>
      </c>
      <c r="Q29" s="74">
        <f>P28/O29*100</f>
        <v>95.56907037358819</v>
      </c>
      <c r="R29" s="72">
        <v>1112</v>
      </c>
      <c r="S29" s="73">
        <f>S28/R28*100</f>
        <v>113.23828920570264</v>
      </c>
      <c r="T29" s="74">
        <f>S28/R29*100</f>
        <v>100</v>
      </c>
      <c r="U29" s="29"/>
      <c r="V29" s="26" t="s">
        <v>49</v>
      </c>
      <c r="W29" s="36" t="s">
        <v>32</v>
      </c>
      <c r="X29" s="37" t="s">
        <v>33</v>
      </c>
      <c r="Y29" s="72">
        <v>1913</v>
      </c>
      <c r="Z29" s="73">
        <f>Z28/Y28*100</f>
        <v>100.57273768613975</v>
      </c>
      <c r="AA29" s="74">
        <f>Z28/Y29*100</f>
        <v>91.79299529534762</v>
      </c>
      <c r="AB29" s="72">
        <v>0</v>
      </c>
      <c r="AC29" s="73" t="s">
        <v>40</v>
      </c>
      <c r="AD29" s="74" t="s">
        <v>34</v>
      </c>
      <c r="AE29" s="72">
        <v>2574</v>
      </c>
      <c r="AF29" s="73">
        <f>AF28/AE28*100</f>
        <v>126.99418911780242</v>
      </c>
      <c r="AG29" s="74">
        <f>AF28/AE29*100</f>
        <v>93.3954933954934</v>
      </c>
      <c r="AH29" s="105">
        <v>75</v>
      </c>
      <c r="AI29" s="73">
        <f>AI28/AH28*100</f>
        <v>3650</v>
      </c>
      <c r="AJ29" s="74">
        <f>AI28/AH29*100</f>
        <v>97.33333333333334</v>
      </c>
      <c r="AK29" s="105">
        <v>1048</v>
      </c>
      <c r="AL29" s="73">
        <f>AL28/AK28*100</f>
        <v>98.14453125</v>
      </c>
      <c r="AM29" s="74">
        <f>AL28/AK29*100</f>
        <v>95.8969465648855</v>
      </c>
      <c r="AN29" s="99">
        <v>2843</v>
      </c>
      <c r="AO29" s="73">
        <f>AO28/AN28*100</f>
        <v>101.66975881261595</v>
      </c>
      <c r="AP29" s="74">
        <f>AO28/AN29*100</f>
        <v>96.3770664790714</v>
      </c>
    </row>
    <row r="30" spans="1:42" ht="15" customHeight="1">
      <c r="A30" s="30"/>
      <c r="B30" s="31" t="s">
        <v>29</v>
      </c>
      <c r="C30" s="38" t="s">
        <v>30</v>
      </c>
      <c r="D30" s="102">
        <v>10333</v>
      </c>
      <c r="E30" s="117">
        <v>9694</v>
      </c>
      <c r="F30" s="104">
        <f>13307-180</f>
        <v>13127</v>
      </c>
      <c r="G30" s="139">
        <f>39155-25798</f>
        <v>13357</v>
      </c>
      <c r="H30" s="140"/>
      <c r="I30" s="104">
        <v>11333</v>
      </c>
      <c r="J30" s="139">
        <v>11202</v>
      </c>
      <c r="K30" s="140"/>
      <c r="L30" s="104">
        <f t="shared" si="0"/>
        <v>24460</v>
      </c>
      <c r="M30" s="139">
        <f>SUM(G30+J30)</f>
        <v>24559</v>
      </c>
      <c r="N30" s="140"/>
      <c r="O30" s="104">
        <v>355</v>
      </c>
      <c r="P30" s="139">
        <v>325</v>
      </c>
      <c r="Q30" s="140"/>
      <c r="R30" s="104">
        <v>2123</v>
      </c>
      <c r="S30" s="139">
        <v>2250</v>
      </c>
      <c r="T30" s="140"/>
      <c r="U30" s="25"/>
      <c r="V30" s="30"/>
      <c r="W30" s="31" t="s">
        <v>29</v>
      </c>
      <c r="X30" s="39" t="s">
        <v>30</v>
      </c>
      <c r="Y30" s="104">
        <v>11170</v>
      </c>
      <c r="Z30" s="139">
        <v>11871</v>
      </c>
      <c r="AA30" s="140"/>
      <c r="AB30" s="104">
        <v>1474</v>
      </c>
      <c r="AC30" s="139">
        <v>1730</v>
      </c>
      <c r="AD30" s="140"/>
      <c r="AE30" s="104">
        <v>3717</v>
      </c>
      <c r="AF30" s="139">
        <v>2979</v>
      </c>
      <c r="AG30" s="140"/>
      <c r="AH30" s="104">
        <v>17</v>
      </c>
      <c r="AI30" s="139">
        <v>130</v>
      </c>
      <c r="AJ30" s="140"/>
      <c r="AK30" s="104">
        <v>994</v>
      </c>
      <c r="AL30" s="139">
        <v>1147</v>
      </c>
      <c r="AM30" s="140"/>
      <c r="AN30" s="102">
        <v>3594</v>
      </c>
      <c r="AO30" s="139">
        <v>3555</v>
      </c>
      <c r="AP30" s="140"/>
    </row>
    <row r="31" spans="1:42" ht="15" customHeight="1" thickBot="1">
      <c r="A31" s="26" t="s">
        <v>50</v>
      </c>
      <c r="B31" s="32" t="s">
        <v>32</v>
      </c>
      <c r="C31" s="40" t="s">
        <v>33</v>
      </c>
      <c r="D31" s="103">
        <v>11501</v>
      </c>
      <c r="E31" s="118" t="s">
        <v>34</v>
      </c>
      <c r="F31" s="72">
        <f>14857-180</f>
        <v>14677</v>
      </c>
      <c r="G31" s="73">
        <f>G30/F30*100</f>
        <v>101.7521139635865</v>
      </c>
      <c r="H31" s="74">
        <f>G30/F31*100</f>
        <v>91.00633644477755</v>
      </c>
      <c r="I31" s="72">
        <v>11617</v>
      </c>
      <c r="J31" s="73">
        <f>J30/I31*100</f>
        <v>96.42764913488853</v>
      </c>
      <c r="K31" s="74">
        <f>J30/I30*100</f>
        <v>98.84408364951909</v>
      </c>
      <c r="L31" s="72">
        <f t="shared" si="0"/>
        <v>26294</v>
      </c>
      <c r="M31" s="73">
        <f>M30/L30*100</f>
        <v>100.40474243663124</v>
      </c>
      <c r="N31" s="74">
        <f>M30/L31*100</f>
        <v>93.40153647219897</v>
      </c>
      <c r="O31" s="72">
        <v>447</v>
      </c>
      <c r="P31" s="73">
        <f>P30/O30*100</f>
        <v>91.54929577464789</v>
      </c>
      <c r="Q31" s="74">
        <f>P30/O31*100</f>
        <v>72.7069351230425</v>
      </c>
      <c r="R31" s="72">
        <v>2231</v>
      </c>
      <c r="S31" s="73">
        <f>S30/R30*100</f>
        <v>105.98210080075366</v>
      </c>
      <c r="T31" s="74">
        <f>S30/R31*100</f>
        <v>100.85163603765128</v>
      </c>
      <c r="U31" s="29"/>
      <c r="V31" s="26" t="s">
        <v>50</v>
      </c>
      <c r="W31" s="32" t="s">
        <v>32</v>
      </c>
      <c r="X31" s="41" t="s">
        <v>33</v>
      </c>
      <c r="Y31" s="72">
        <v>12197</v>
      </c>
      <c r="Z31" s="73">
        <f>Z30/Y30*100</f>
        <v>106.27573858549685</v>
      </c>
      <c r="AA31" s="74">
        <f>Z30/Y31*100</f>
        <v>97.32721160941215</v>
      </c>
      <c r="AB31" s="72">
        <v>1898</v>
      </c>
      <c r="AC31" s="73">
        <f>AC30/AB30*100</f>
        <v>117.36770691994573</v>
      </c>
      <c r="AD31" s="74">
        <f>AC30/AB31*100</f>
        <v>91.14857744994731</v>
      </c>
      <c r="AE31" s="72">
        <v>3262</v>
      </c>
      <c r="AF31" s="73">
        <f>AF30/AE30*100</f>
        <v>80.1452784503632</v>
      </c>
      <c r="AG31" s="74">
        <f>AF30/AE31*100</f>
        <v>91.32434089515634</v>
      </c>
      <c r="AH31" s="72">
        <v>136</v>
      </c>
      <c r="AI31" s="73">
        <f>AI30/AH30*100</f>
        <v>764.7058823529412</v>
      </c>
      <c r="AJ31" s="74">
        <f>AI30/AH31*100</f>
        <v>95.58823529411765</v>
      </c>
      <c r="AK31" s="72">
        <v>1176</v>
      </c>
      <c r="AL31" s="73">
        <f>AL30/AK30*100</f>
        <v>115.3923541247485</v>
      </c>
      <c r="AM31" s="74">
        <f>AL30/AK31*100</f>
        <v>97.53401360544217</v>
      </c>
      <c r="AN31" s="103">
        <v>3657</v>
      </c>
      <c r="AO31" s="73">
        <f>AO30/AN30*100</f>
        <v>98.91485809682806</v>
      </c>
      <c r="AP31" s="74">
        <f>AO30/AN31*100</f>
        <v>97.21082854799016</v>
      </c>
    </row>
    <row r="32" spans="1:42" ht="15" customHeight="1">
      <c r="A32" s="11"/>
      <c r="B32" s="11"/>
      <c r="C32" s="11"/>
      <c r="D32" s="92"/>
      <c r="E32" s="113"/>
      <c r="F32" s="92"/>
      <c r="G32" s="96"/>
      <c r="H32" s="97"/>
      <c r="I32" s="92"/>
      <c r="J32" s="96"/>
      <c r="K32" s="97"/>
      <c r="L32" s="92"/>
      <c r="M32" s="96"/>
      <c r="N32" s="97"/>
      <c r="O32" s="75"/>
      <c r="P32" s="76"/>
      <c r="Q32" s="77"/>
      <c r="R32" s="25"/>
      <c r="S32" s="42"/>
      <c r="T32" s="43"/>
      <c r="U32" s="29"/>
      <c r="V32" s="11"/>
      <c r="W32" s="11"/>
      <c r="X32" s="11"/>
      <c r="Y32" s="25"/>
      <c r="Z32" s="42"/>
      <c r="AA32" s="43"/>
      <c r="AB32" s="25"/>
      <c r="AC32" s="42"/>
      <c r="AD32" s="43"/>
      <c r="AE32" s="25"/>
      <c r="AF32" s="42"/>
      <c r="AG32" s="43"/>
      <c r="AH32" s="25"/>
      <c r="AI32" s="42"/>
      <c r="AJ32" s="43"/>
      <c r="AK32" s="25"/>
      <c r="AL32" s="42"/>
      <c r="AM32" s="43"/>
      <c r="AN32" s="25"/>
      <c r="AO32" s="42"/>
      <c r="AP32" s="43"/>
    </row>
    <row r="33" spans="1:42" ht="15" customHeight="1">
      <c r="A33" s="11"/>
      <c r="B33" s="11"/>
      <c r="C33" s="11"/>
      <c r="D33" s="92"/>
      <c r="E33" s="113"/>
      <c r="F33" s="92"/>
      <c r="G33" s="96" t="s">
        <v>1</v>
      </c>
      <c r="H33" s="97"/>
      <c r="I33" s="92"/>
      <c r="J33" s="96"/>
      <c r="K33" s="97"/>
      <c r="L33" s="92"/>
      <c r="M33" s="96"/>
      <c r="N33" s="97"/>
      <c r="O33" s="75"/>
      <c r="P33" s="76"/>
      <c r="Q33" s="77"/>
      <c r="R33" s="25"/>
      <c r="S33" s="42"/>
      <c r="T33" s="43"/>
      <c r="U33" s="29"/>
      <c r="V33" s="11"/>
      <c r="W33" s="11"/>
      <c r="X33" s="11"/>
      <c r="Y33" s="25"/>
      <c r="Z33" s="42"/>
      <c r="AA33" s="43"/>
      <c r="AB33" s="25"/>
      <c r="AC33" s="42"/>
      <c r="AD33" s="43"/>
      <c r="AE33" s="25"/>
      <c r="AF33" s="42"/>
      <c r="AG33" s="43"/>
      <c r="AH33" s="25"/>
      <c r="AI33" s="42"/>
      <c r="AJ33" s="43"/>
      <c r="AK33" s="25"/>
      <c r="AL33" s="42"/>
      <c r="AM33" s="43"/>
      <c r="AN33" s="25"/>
      <c r="AO33" s="42"/>
      <c r="AP33" s="43"/>
    </row>
    <row r="34" spans="1:42" ht="15" customHeight="1">
      <c r="A34" s="11"/>
      <c r="B34" s="11"/>
      <c r="C34" s="11"/>
      <c r="D34" s="92"/>
      <c r="E34" s="113"/>
      <c r="F34" s="92"/>
      <c r="G34" s="96"/>
      <c r="H34" s="97"/>
      <c r="I34" s="92"/>
      <c r="J34" s="96"/>
      <c r="K34" s="97"/>
      <c r="L34" s="92"/>
      <c r="M34" s="96"/>
      <c r="N34" s="97"/>
      <c r="O34" s="75"/>
      <c r="P34" s="76" t="s">
        <v>1</v>
      </c>
      <c r="Q34" s="77"/>
      <c r="R34" s="25"/>
      <c r="S34" s="42"/>
      <c r="T34" s="43"/>
      <c r="U34" s="29"/>
      <c r="V34" s="11"/>
      <c r="W34" s="11"/>
      <c r="X34" s="11"/>
      <c r="Y34" s="25"/>
      <c r="Z34" s="42"/>
      <c r="AA34" s="43"/>
      <c r="AB34" s="25"/>
      <c r="AC34" s="42"/>
      <c r="AD34" s="43"/>
      <c r="AE34" s="25"/>
      <c r="AF34" s="42"/>
      <c r="AG34" s="43"/>
      <c r="AH34" s="25"/>
      <c r="AI34" s="42"/>
      <c r="AJ34" s="43"/>
      <c r="AK34" s="25"/>
      <c r="AL34" s="42"/>
      <c r="AM34" s="43"/>
      <c r="AN34" s="25"/>
      <c r="AO34" s="42"/>
      <c r="AP34" s="43"/>
    </row>
    <row r="35" spans="4:42" s="11" customFormat="1" ht="15" customHeight="1">
      <c r="D35" s="92"/>
      <c r="E35" s="113"/>
      <c r="F35" s="92"/>
      <c r="G35" s="96"/>
      <c r="H35" s="97"/>
      <c r="I35" s="92"/>
      <c r="J35" s="96"/>
      <c r="K35" s="97"/>
      <c r="L35" s="92"/>
      <c r="M35" s="96"/>
      <c r="N35" s="97"/>
      <c r="O35" s="75"/>
      <c r="P35" s="76"/>
      <c r="Q35" s="77"/>
      <c r="R35" s="25"/>
      <c r="S35" s="42"/>
      <c r="T35" s="2" t="s">
        <v>0</v>
      </c>
      <c r="U35" s="29"/>
      <c r="Y35" s="25"/>
      <c r="Z35" s="42"/>
      <c r="AA35" s="43"/>
      <c r="AB35" s="25"/>
      <c r="AC35" s="42"/>
      <c r="AD35" s="43"/>
      <c r="AE35" s="25"/>
      <c r="AF35" s="42"/>
      <c r="AG35" s="43"/>
      <c r="AH35" s="25"/>
      <c r="AI35" s="42"/>
      <c r="AJ35" s="43"/>
      <c r="AK35" s="25"/>
      <c r="AL35" s="42"/>
      <c r="AM35" s="43"/>
      <c r="AN35" s="25"/>
      <c r="AO35" s="42"/>
      <c r="AP35" s="2" t="s">
        <v>0</v>
      </c>
    </row>
    <row r="36" spans="4:17" ht="12.75"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78"/>
      <c r="P36" s="78"/>
      <c r="Q36" s="78"/>
    </row>
    <row r="37" spans="4:42" s="11" customFormat="1" ht="15" customHeight="1" thickBot="1">
      <c r="D37" s="92"/>
      <c r="E37" s="113"/>
      <c r="F37" s="92"/>
      <c r="G37" s="96"/>
      <c r="H37" s="97"/>
      <c r="I37" s="92"/>
      <c r="J37" s="96"/>
      <c r="K37" s="97"/>
      <c r="L37" s="92"/>
      <c r="M37" s="96"/>
      <c r="N37" s="97"/>
      <c r="O37" s="75"/>
      <c r="P37" s="76"/>
      <c r="Q37" s="77"/>
      <c r="R37" s="25"/>
      <c r="S37" s="42"/>
      <c r="T37" s="43"/>
      <c r="U37" s="29"/>
      <c r="Y37" s="25"/>
      <c r="Z37" s="42"/>
      <c r="AA37" s="43"/>
      <c r="AB37" s="25"/>
      <c r="AC37" s="42"/>
      <c r="AD37" s="43"/>
      <c r="AE37" s="25"/>
      <c r="AF37" s="42"/>
      <c r="AG37" s="43" t="s">
        <v>1</v>
      </c>
      <c r="AH37" s="25"/>
      <c r="AI37" s="42"/>
      <c r="AJ37" s="43"/>
      <c r="AK37" s="25"/>
      <c r="AL37" s="42"/>
      <c r="AM37" s="43"/>
      <c r="AN37" s="25"/>
      <c r="AO37" s="42"/>
      <c r="AP37" s="43"/>
    </row>
    <row r="38" spans="1:42" ht="15" customHeight="1">
      <c r="A38" s="44"/>
      <c r="B38" s="6"/>
      <c r="C38" s="6"/>
      <c r="D38" s="166"/>
      <c r="E38" s="167"/>
      <c r="F38" s="119"/>
      <c r="G38" s="119"/>
      <c r="H38" s="120"/>
      <c r="I38" s="166"/>
      <c r="J38" s="168"/>
      <c r="K38" s="167"/>
      <c r="L38" s="166"/>
      <c r="M38" s="168"/>
      <c r="N38" s="167"/>
      <c r="O38" s="79" t="s">
        <v>3</v>
      </c>
      <c r="P38" s="80"/>
      <c r="Q38" s="81"/>
      <c r="R38" s="47"/>
      <c r="S38" s="47"/>
      <c r="T38" s="48"/>
      <c r="U38" s="11"/>
      <c r="V38" s="44"/>
      <c r="W38" s="6"/>
      <c r="X38" s="6"/>
      <c r="Y38" s="45" t="s">
        <v>3</v>
      </c>
      <c r="Z38" s="46"/>
      <c r="AA38" s="47"/>
      <c r="AB38" s="47"/>
      <c r="AC38" s="47"/>
      <c r="AD38" s="47"/>
      <c r="AE38" s="47"/>
      <c r="AF38" s="47"/>
      <c r="AG38" s="9"/>
      <c r="AH38" s="169"/>
      <c r="AI38" s="169"/>
      <c r="AJ38" s="169"/>
      <c r="AK38" s="169"/>
      <c r="AL38" s="169"/>
      <c r="AM38" s="169"/>
      <c r="AN38" s="169"/>
      <c r="AO38" s="12"/>
      <c r="AP38" s="13"/>
    </row>
    <row r="39" spans="1:42" ht="15" customHeight="1">
      <c r="A39" s="49" t="s">
        <v>4</v>
      </c>
      <c r="B39" s="157" t="s">
        <v>5</v>
      </c>
      <c r="C39" s="157"/>
      <c r="D39" s="150" t="s">
        <v>6</v>
      </c>
      <c r="E39" s="152"/>
      <c r="F39" s="151" t="s">
        <v>7</v>
      </c>
      <c r="G39" s="151"/>
      <c r="H39" s="152"/>
      <c r="I39" s="150" t="s">
        <v>8</v>
      </c>
      <c r="J39" s="151"/>
      <c r="K39" s="152"/>
      <c r="L39" s="150" t="s">
        <v>9</v>
      </c>
      <c r="M39" s="151"/>
      <c r="N39" s="152"/>
      <c r="O39" s="153" t="s">
        <v>10</v>
      </c>
      <c r="P39" s="154"/>
      <c r="Q39" s="154"/>
      <c r="R39" s="155" t="s">
        <v>11</v>
      </c>
      <c r="S39" s="148"/>
      <c r="T39" s="156"/>
      <c r="U39" s="16"/>
      <c r="V39" s="49" t="s">
        <v>12</v>
      </c>
      <c r="W39" s="157" t="s">
        <v>5</v>
      </c>
      <c r="X39" s="157"/>
      <c r="Y39" s="147" t="s">
        <v>13</v>
      </c>
      <c r="Z39" s="148"/>
      <c r="AA39" s="148"/>
      <c r="AB39" s="155" t="s">
        <v>14</v>
      </c>
      <c r="AC39" s="148"/>
      <c r="AD39" s="158"/>
      <c r="AE39" s="155" t="s">
        <v>15</v>
      </c>
      <c r="AF39" s="148"/>
      <c r="AG39" s="158"/>
      <c r="AH39" s="155" t="s">
        <v>16</v>
      </c>
      <c r="AI39" s="148"/>
      <c r="AJ39" s="158"/>
      <c r="AK39" s="50" t="s">
        <v>51</v>
      </c>
      <c r="AL39" s="50"/>
      <c r="AM39" s="51"/>
      <c r="AN39" s="52" t="s">
        <v>52</v>
      </c>
      <c r="AO39" s="50"/>
      <c r="AP39" s="53"/>
    </row>
    <row r="40" spans="1:42" ht="15" customHeight="1" thickBot="1">
      <c r="A40" s="54"/>
      <c r="B40" s="55"/>
      <c r="C40" s="55"/>
      <c r="D40" s="121"/>
      <c r="E40" s="122"/>
      <c r="F40" s="159" t="s">
        <v>19</v>
      </c>
      <c r="G40" s="159"/>
      <c r="H40" s="160"/>
      <c r="I40" s="161" t="s">
        <v>19</v>
      </c>
      <c r="J40" s="159"/>
      <c r="K40" s="160"/>
      <c r="L40" s="123" t="s">
        <v>53</v>
      </c>
      <c r="M40" s="124"/>
      <c r="N40" s="122"/>
      <c r="O40" s="162" t="s">
        <v>21</v>
      </c>
      <c r="P40" s="163"/>
      <c r="Q40" s="164"/>
      <c r="R40" s="144" t="s">
        <v>22</v>
      </c>
      <c r="S40" s="145"/>
      <c r="T40" s="149"/>
      <c r="U40" s="21"/>
      <c r="V40" s="54"/>
      <c r="W40" s="55"/>
      <c r="X40" s="55"/>
      <c r="Y40" s="165" t="s">
        <v>23</v>
      </c>
      <c r="Z40" s="145"/>
      <c r="AA40" s="145"/>
      <c r="AB40" s="144" t="s">
        <v>24</v>
      </c>
      <c r="AC40" s="145"/>
      <c r="AD40" s="146"/>
      <c r="AE40" s="144" t="s">
        <v>25</v>
      </c>
      <c r="AF40" s="145"/>
      <c r="AG40" s="146"/>
      <c r="AH40" s="144" t="s">
        <v>71</v>
      </c>
      <c r="AI40" s="145"/>
      <c r="AJ40" s="146"/>
      <c r="AK40" s="144" t="s">
        <v>26</v>
      </c>
      <c r="AL40" s="145"/>
      <c r="AM40" s="146"/>
      <c r="AN40" s="144" t="s">
        <v>27</v>
      </c>
      <c r="AO40" s="145"/>
      <c r="AP40" s="149"/>
    </row>
    <row r="41" spans="1:42" ht="15" customHeight="1" thickTop="1">
      <c r="A41" s="22"/>
      <c r="B41" s="23" t="s">
        <v>29</v>
      </c>
      <c r="C41" s="24" t="s">
        <v>30</v>
      </c>
      <c r="D41" s="100">
        <v>1977</v>
      </c>
      <c r="E41" s="115">
        <v>-309</v>
      </c>
      <c r="F41" s="100">
        <f>11073-269</f>
        <v>10804</v>
      </c>
      <c r="G41" s="133">
        <f>21289-11764</f>
        <v>9525</v>
      </c>
      <c r="H41" s="134"/>
      <c r="I41" s="100">
        <v>1000</v>
      </c>
      <c r="J41" s="133">
        <v>3332</v>
      </c>
      <c r="K41" s="134"/>
      <c r="L41" s="100">
        <f>SUM(F41+I41)</f>
        <v>11804</v>
      </c>
      <c r="M41" s="133">
        <f>SUM(G41+J41)</f>
        <v>12857</v>
      </c>
      <c r="N41" s="134"/>
      <c r="O41" s="100">
        <v>395</v>
      </c>
      <c r="P41" s="133">
        <v>1514</v>
      </c>
      <c r="Q41" s="134"/>
      <c r="R41" s="100">
        <v>0</v>
      </c>
      <c r="S41" s="133">
        <v>0</v>
      </c>
      <c r="T41" s="134"/>
      <c r="U41" s="25"/>
      <c r="V41" s="22"/>
      <c r="W41" s="23" t="s">
        <v>29</v>
      </c>
      <c r="X41" s="24" t="s">
        <v>30</v>
      </c>
      <c r="Y41" s="100">
        <v>517</v>
      </c>
      <c r="Z41" s="142">
        <v>570</v>
      </c>
      <c r="AA41" s="143"/>
      <c r="AB41" s="100">
        <v>1505</v>
      </c>
      <c r="AC41" s="133">
        <v>699</v>
      </c>
      <c r="AD41" s="134"/>
      <c r="AE41" s="100">
        <v>4248</v>
      </c>
      <c r="AF41" s="133">
        <v>5626</v>
      </c>
      <c r="AG41" s="134"/>
      <c r="AH41" s="100">
        <v>0</v>
      </c>
      <c r="AI41" s="133">
        <v>146</v>
      </c>
      <c r="AJ41" s="134"/>
      <c r="AK41" s="100">
        <v>804</v>
      </c>
      <c r="AL41" s="133">
        <v>786</v>
      </c>
      <c r="AM41" s="134"/>
      <c r="AN41" s="98">
        <v>3442</v>
      </c>
      <c r="AO41" s="133">
        <v>2854</v>
      </c>
      <c r="AP41" s="134"/>
    </row>
    <row r="42" spans="1:42" ht="15" customHeight="1" thickBot="1">
      <c r="A42" s="26" t="s">
        <v>54</v>
      </c>
      <c r="B42" s="32" t="s">
        <v>32</v>
      </c>
      <c r="C42" s="33" t="s">
        <v>33</v>
      </c>
      <c r="D42" s="72">
        <v>3977</v>
      </c>
      <c r="E42" s="118" t="s">
        <v>34</v>
      </c>
      <c r="F42" s="72">
        <f>14048-269</f>
        <v>13779</v>
      </c>
      <c r="G42" s="73">
        <f>G41/F41*100</f>
        <v>88.1617919289152</v>
      </c>
      <c r="H42" s="74">
        <f>G41/F42*100</f>
        <v>69.12693228826475</v>
      </c>
      <c r="I42" s="72">
        <v>3618</v>
      </c>
      <c r="J42" s="73">
        <f>J41/I41*100</f>
        <v>333.2</v>
      </c>
      <c r="K42" s="74">
        <f>J41/I42*100</f>
        <v>92.09508015478166</v>
      </c>
      <c r="L42" s="72">
        <f aca="true" t="shared" si="1" ref="L42:L64">SUM(F42+I42)</f>
        <v>17397</v>
      </c>
      <c r="M42" s="73">
        <f>M41/L41*100</f>
        <v>108.92070484581498</v>
      </c>
      <c r="N42" s="74">
        <f>M41/L42*100</f>
        <v>73.90354658849226</v>
      </c>
      <c r="O42" s="72">
        <v>1673</v>
      </c>
      <c r="P42" s="73">
        <f>P41/O41*100</f>
        <v>383.2911392405063</v>
      </c>
      <c r="Q42" s="74">
        <f>P41/O42*100</f>
        <v>90.4961147638972</v>
      </c>
      <c r="R42" s="72">
        <v>0</v>
      </c>
      <c r="S42" s="73" t="s">
        <v>40</v>
      </c>
      <c r="T42" s="74" t="s">
        <v>34</v>
      </c>
      <c r="U42" s="29"/>
      <c r="V42" s="26" t="s">
        <v>54</v>
      </c>
      <c r="W42" s="32" t="s">
        <v>32</v>
      </c>
      <c r="X42" s="33" t="s">
        <v>33</v>
      </c>
      <c r="Y42" s="72">
        <v>870</v>
      </c>
      <c r="Z42" s="73">
        <f>Z41/Y41*100</f>
        <v>110.25145067698259</v>
      </c>
      <c r="AA42" s="74">
        <f>Z41/Y42*100</f>
        <v>65.51724137931035</v>
      </c>
      <c r="AB42" s="72">
        <v>1066</v>
      </c>
      <c r="AC42" s="73">
        <f>AC41/AB41*100</f>
        <v>46.44518272425249</v>
      </c>
      <c r="AD42" s="74">
        <f>AC41/AB42*100</f>
        <v>65.57223264540337</v>
      </c>
      <c r="AE42" s="72">
        <v>8375</v>
      </c>
      <c r="AF42" s="73">
        <f>AF41/AE41*100</f>
        <v>132.43879472693033</v>
      </c>
      <c r="AG42" s="74">
        <f>AF41/AE42*100</f>
        <v>67.17611940298508</v>
      </c>
      <c r="AH42" s="72">
        <v>146</v>
      </c>
      <c r="AI42" s="73" t="s">
        <v>40</v>
      </c>
      <c r="AJ42" s="74">
        <f>AI41/AH42*100</f>
        <v>100</v>
      </c>
      <c r="AK42" s="72">
        <v>842</v>
      </c>
      <c r="AL42" s="73">
        <f>AL41/AK41*100</f>
        <v>97.76119402985076</v>
      </c>
      <c r="AM42" s="74">
        <f>AL41/AK42*100</f>
        <v>93.34916864608076</v>
      </c>
      <c r="AN42" s="103">
        <v>3458</v>
      </c>
      <c r="AO42" s="73">
        <f>AO41/AN41*100</f>
        <v>82.91690877396863</v>
      </c>
      <c r="AP42" s="74">
        <f>AO41/AN42*100</f>
        <v>82.53325621746674</v>
      </c>
    </row>
    <row r="43" spans="1:42" ht="15" customHeight="1">
      <c r="A43" s="22"/>
      <c r="B43" s="23" t="s">
        <v>29</v>
      </c>
      <c r="C43" s="24" t="s">
        <v>30</v>
      </c>
      <c r="D43" s="98">
        <v>738</v>
      </c>
      <c r="E43" s="115">
        <v>-593</v>
      </c>
      <c r="F43" s="100">
        <f>8731-95</f>
        <v>8636</v>
      </c>
      <c r="G43" s="139">
        <f>15552-8062</f>
        <v>7490</v>
      </c>
      <c r="H43" s="140"/>
      <c r="I43" s="100">
        <v>1000</v>
      </c>
      <c r="J43" s="139">
        <v>1125</v>
      </c>
      <c r="K43" s="140"/>
      <c r="L43" s="104">
        <f t="shared" si="1"/>
        <v>9636</v>
      </c>
      <c r="M43" s="139">
        <f>SUM(G43+J43)</f>
        <v>8615</v>
      </c>
      <c r="N43" s="140"/>
      <c r="O43" s="104">
        <v>1196</v>
      </c>
      <c r="P43" s="139">
        <v>636</v>
      </c>
      <c r="Q43" s="140"/>
      <c r="R43" s="100">
        <v>1256</v>
      </c>
      <c r="S43" s="139">
        <v>1504</v>
      </c>
      <c r="T43" s="140"/>
      <c r="U43" s="25"/>
      <c r="V43" s="22"/>
      <c r="W43" s="23" t="s">
        <v>29</v>
      </c>
      <c r="X43" s="24" t="s">
        <v>30</v>
      </c>
      <c r="Y43" s="100">
        <v>328</v>
      </c>
      <c r="Z43" s="139">
        <v>791</v>
      </c>
      <c r="AA43" s="140"/>
      <c r="AB43" s="100">
        <v>1261</v>
      </c>
      <c r="AC43" s="139">
        <v>847</v>
      </c>
      <c r="AD43" s="140"/>
      <c r="AE43" s="100">
        <v>1572</v>
      </c>
      <c r="AF43" s="139">
        <v>580</v>
      </c>
      <c r="AG43" s="140"/>
      <c r="AH43" s="100">
        <v>0</v>
      </c>
      <c r="AI43" s="139">
        <v>6</v>
      </c>
      <c r="AJ43" s="140"/>
      <c r="AK43" s="100">
        <v>1082</v>
      </c>
      <c r="AL43" s="139">
        <v>1088</v>
      </c>
      <c r="AM43" s="140"/>
      <c r="AN43" s="98">
        <v>2841</v>
      </c>
      <c r="AO43" s="139">
        <v>3023</v>
      </c>
      <c r="AP43" s="140"/>
    </row>
    <row r="44" spans="1:42" ht="15" customHeight="1" thickBot="1">
      <c r="A44" s="22" t="s">
        <v>55</v>
      </c>
      <c r="B44" s="36" t="s">
        <v>32</v>
      </c>
      <c r="C44" s="37" t="s">
        <v>33</v>
      </c>
      <c r="D44" s="98">
        <v>2562</v>
      </c>
      <c r="E44" s="116" t="s">
        <v>34</v>
      </c>
      <c r="F44" s="105">
        <f>9945-95</f>
        <v>9850</v>
      </c>
      <c r="G44" s="73">
        <f>G43/F43*100</f>
        <v>86.72996757758222</v>
      </c>
      <c r="H44" s="74">
        <f>G43/F44*100</f>
        <v>76.04060913705584</v>
      </c>
      <c r="I44" s="105">
        <v>2253</v>
      </c>
      <c r="J44" s="73">
        <f>J43/I43*100</f>
        <v>112.5</v>
      </c>
      <c r="K44" s="74">
        <f>J43/I44*100</f>
        <v>49.93342210386152</v>
      </c>
      <c r="L44" s="72">
        <f t="shared" si="1"/>
        <v>12103</v>
      </c>
      <c r="M44" s="73">
        <f>M43/L43*100</f>
        <v>89.40431714404316</v>
      </c>
      <c r="N44" s="74">
        <f>M43/L44*100</f>
        <v>71.18069900024787</v>
      </c>
      <c r="O44" s="72">
        <v>2082</v>
      </c>
      <c r="P44" s="73">
        <f>P43/O43*100</f>
        <v>53.17725752508361</v>
      </c>
      <c r="Q44" s="74">
        <f>P43/O44*100</f>
        <v>30.547550432276655</v>
      </c>
      <c r="R44" s="105">
        <v>1525</v>
      </c>
      <c r="S44" s="73">
        <f>S43/R43*100</f>
        <v>119.7452229299363</v>
      </c>
      <c r="T44" s="74">
        <f>S43/R44*100</f>
        <v>98.62295081967213</v>
      </c>
      <c r="U44" s="29"/>
      <c r="V44" s="22" t="s">
        <v>55</v>
      </c>
      <c r="W44" s="36" t="s">
        <v>32</v>
      </c>
      <c r="X44" s="37" t="s">
        <v>33</v>
      </c>
      <c r="Y44" s="105">
        <v>1085</v>
      </c>
      <c r="Z44" s="73">
        <f>Z43/Y43*100</f>
        <v>241.15853658536585</v>
      </c>
      <c r="AA44" s="74">
        <f>Z43/Y44*100</f>
        <v>72.90322580645162</v>
      </c>
      <c r="AB44" s="105">
        <v>1280</v>
      </c>
      <c r="AC44" s="73">
        <f>AC43/AB43*100</f>
        <v>67.16891356066613</v>
      </c>
      <c r="AD44" s="74">
        <f>AC43/AB44*100</f>
        <v>66.171875</v>
      </c>
      <c r="AE44" s="105">
        <v>868</v>
      </c>
      <c r="AF44" s="73">
        <f>AF43/AE43*100</f>
        <v>36.895674300254456</v>
      </c>
      <c r="AG44" s="74">
        <f>AF43/AE44*100</f>
        <v>66.82027649769586</v>
      </c>
      <c r="AH44" s="105">
        <v>6</v>
      </c>
      <c r="AI44" s="73" t="s">
        <v>40</v>
      </c>
      <c r="AJ44" s="74">
        <f>AI43/AH44*100</f>
        <v>100</v>
      </c>
      <c r="AK44" s="105">
        <v>1135</v>
      </c>
      <c r="AL44" s="73">
        <f>AL43/AK43*100</f>
        <v>100.55452865064696</v>
      </c>
      <c r="AM44" s="74">
        <f>AL43/AK44*100</f>
        <v>95.8590308370044</v>
      </c>
      <c r="AN44" s="99">
        <v>3766</v>
      </c>
      <c r="AO44" s="73">
        <f>AO43/AN43*100</f>
        <v>106.40619500175994</v>
      </c>
      <c r="AP44" s="74">
        <f>AO43/AN44*100</f>
        <v>80.27084439723845</v>
      </c>
    </row>
    <row r="45" spans="1:42" ht="15" customHeight="1">
      <c r="A45" s="30"/>
      <c r="B45" s="31" t="s">
        <v>29</v>
      </c>
      <c r="C45" s="10" t="s">
        <v>30</v>
      </c>
      <c r="D45" s="106">
        <v>487</v>
      </c>
      <c r="E45" s="117">
        <v>-1767</v>
      </c>
      <c r="F45" s="104">
        <f>19480-220</f>
        <v>19260</v>
      </c>
      <c r="G45" s="139">
        <f>47558-25843</f>
        <v>21715</v>
      </c>
      <c r="H45" s="140"/>
      <c r="I45" s="104">
        <v>1900</v>
      </c>
      <c r="J45" s="139">
        <v>1710</v>
      </c>
      <c r="K45" s="140"/>
      <c r="L45" s="104">
        <f t="shared" si="1"/>
        <v>21160</v>
      </c>
      <c r="M45" s="139">
        <f>SUM(G45+J45)</f>
        <v>23425</v>
      </c>
      <c r="N45" s="140"/>
      <c r="O45" s="104">
        <v>707</v>
      </c>
      <c r="P45" s="139">
        <v>1795</v>
      </c>
      <c r="Q45" s="140"/>
      <c r="R45" s="104">
        <v>3507</v>
      </c>
      <c r="S45" s="139">
        <v>3581</v>
      </c>
      <c r="T45" s="140"/>
      <c r="U45" s="25"/>
      <c r="V45" s="30"/>
      <c r="W45" s="31" t="s">
        <v>29</v>
      </c>
      <c r="X45" s="10" t="s">
        <v>30</v>
      </c>
      <c r="Y45" s="104">
        <v>3215</v>
      </c>
      <c r="Z45" s="139">
        <v>3932</v>
      </c>
      <c r="AA45" s="140"/>
      <c r="AB45" s="104">
        <v>4148</v>
      </c>
      <c r="AC45" s="139">
        <v>4276</v>
      </c>
      <c r="AD45" s="140"/>
      <c r="AE45" s="104">
        <v>2475</v>
      </c>
      <c r="AF45" s="139">
        <v>2388</v>
      </c>
      <c r="AG45" s="140"/>
      <c r="AH45" s="104">
        <v>55</v>
      </c>
      <c r="AI45" s="139">
        <v>319</v>
      </c>
      <c r="AJ45" s="140"/>
      <c r="AK45" s="104">
        <v>1720</v>
      </c>
      <c r="AL45" s="139">
        <v>1757</v>
      </c>
      <c r="AM45" s="140"/>
      <c r="AN45" s="102">
        <v>4278</v>
      </c>
      <c r="AO45" s="139">
        <v>4403</v>
      </c>
      <c r="AP45" s="140"/>
    </row>
    <row r="46" spans="1:42" ht="15" customHeight="1" thickBot="1">
      <c r="A46" s="26" t="s">
        <v>56</v>
      </c>
      <c r="B46" s="32" t="s">
        <v>32</v>
      </c>
      <c r="C46" s="33" t="s">
        <v>33</v>
      </c>
      <c r="D46" s="72">
        <v>1985</v>
      </c>
      <c r="E46" s="118" t="s">
        <v>34</v>
      </c>
      <c r="F46" s="72">
        <f>24833-220</f>
        <v>24613</v>
      </c>
      <c r="G46" s="73">
        <f>G45/F45*100</f>
        <v>112.7466251298027</v>
      </c>
      <c r="H46" s="74">
        <f>G45/F46*100</f>
        <v>88.2257343680169</v>
      </c>
      <c r="I46" s="72">
        <v>1827</v>
      </c>
      <c r="J46" s="73">
        <f>J45/I45*100</f>
        <v>90</v>
      </c>
      <c r="K46" s="74">
        <f>J45/I46*100</f>
        <v>93.59605911330048</v>
      </c>
      <c r="L46" s="72">
        <f t="shared" si="1"/>
        <v>26440</v>
      </c>
      <c r="M46" s="73">
        <f>M45/L45*100</f>
        <v>110.70415879017013</v>
      </c>
      <c r="N46" s="74">
        <f>M45/L46*100</f>
        <v>88.59682299546142</v>
      </c>
      <c r="O46" s="72">
        <v>2677</v>
      </c>
      <c r="P46" s="73">
        <f>P45/O45*100</f>
        <v>253.8896746817539</v>
      </c>
      <c r="Q46" s="74">
        <f>P45/O46*100</f>
        <v>67.05267090026149</v>
      </c>
      <c r="R46" s="72">
        <v>3582</v>
      </c>
      <c r="S46" s="73">
        <f>S45/R45*100</f>
        <v>102.11006558311948</v>
      </c>
      <c r="T46" s="74">
        <f>S45/R46*100</f>
        <v>99.97208263539922</v>
      </c>
      <c r="U46" s="29"/>
      <c r="V46" s="26" t="s">
        <v>56</v>
      </c>
      <c r="W46" s="32" t="s">
        <v>32</v>
      </c>
      <c r="X46" s="33" t="s">
        <v>33</v>
      </c>
      <c r="Y46" s="72">
        <v>4439</v>
      </c>
      <c r="Z46" s="73">
        <f>Z45/Y45*100</f>
        <v>122.30171073094868</v>
      </c>
      <c r="AA46" s="74">
        <f>Z45/Y46*100</f>
        <v>88.57850867312457</v>
      </c>
      <c r="AB46" s="72">
        <v>4619</v>
      </c>
      <c r="AC46" s="73">
        <f>AC45/AB45*100</f>
        <v>103.08582449373192</v>
      </c>
      <c r="AD46" s="74">
        <f>AC45/AB46*100</f>
        <v>92.57415024897165</v>
      </c>
      <c r="AE46" s="72">
        <v>2769</v>
      </c>
      <c r="AF46" s="73">
        <f>AF45/AE45*100</f>
        <v>96.48484848484848</v>
      </c>
      <c r="AG46" s="74">
        <f>AF45/AE46*100</f>
        <v>86.24052004333694</v>
      </c>
      <c r="AH46" s="72">
        <v>347</v>
      </c>
      <c r="AI46" s="73">
        <f>AI45/AH45*100</f>
        <v>580</v>
      </c>
      <c r="AJ46" s="74">
        <f>AI45/AH46*100</f>
        <v>91.93083573487031</v>
      </c>
      <c r="AK46" s="72">
        <v>1781</v>
      </c>
      <c r="AL46" s="73">
        <f>AL45/AK45*100</f>
        <v>102.15116279069767</v>
      </c>
      <c r="AM46" s="74">
        <f>AL45/AK46*100</f>
        <v>98.65244244806289</v>
      </c>
      <c r="AN46" s="103">
        <v>4494</v>
      </c>
      <c r="AO46" s="73">
        <f>AO45/AN45*100</f>
        <v>102.92192613370734</v>
      </c>
      <c r="AP46" s="74">
        <f>AO45/AN46*100</f>
        <v>97.97507788161994</v>
      </c>
    </row>
    <row r="47" spans="1:42" ht="15" customHeight="1">
      <c r="A47" s="22" t="s">
        <v>57</v>
      </c>
      <c r="B47" s="23" t="s">
        <v>29</v>
      </c>
      <c r="C47" s="24" t="s">
        <v>30</v>
      </c>
      <c r="D47" s="98">
        <v>2623</v>
      </c>
      <c r="E47" s="115">
        <v>4</v>
      </c>
      <c r="F47" s="100">
        <f>38153-665</f>
        <v>37488</v>
      </c>
      <c r="G47" s="139">
        <f>121720-71684</f>
        <v>50036</v>
      </c>
      <c r="H47" s="140"/>
      <c r="I47" s="100">
        <v>16825</v>
      </c>
      <c r="J47" s="139">
        <v>20892</v>
      </c>
      <c r="K47" s="140"/>
      <c r="L47" s="104">
        <f t="shared" si="1"/>
        <v>54313</v>
      </c>
      <c r="M47" s="139">
        <f>SUM(G47+J47)</f>
        <v>70928</v>
      </c>
      <c r="N47" s="140"/>
      <c r="O47" s="104">
        <v>7838</v>
      </c>
      <c r="P47" s="139">
        <v>11080</v>
      </c>
      <c r="Q47" s="140"/>
      <c r="R47" s="100">
        <v>10481</v>
      </c>
      <c r="S47" s="139">
        <v>12039</v>
      </c>
      <c r="T47" s="140"/>
      <c r="U47" s="25"/>
      <c r="V47" s="22" t="s">
        <v>58</v>
      </c>
      <c r="W47" s="23" t="s">
        <v>29</v>
      </c>
      <c r="X47" s="24" t="s">
        <v>30</v>
      </c>
      <c r="Y47" s="100">
        <v>1018</v>
      </c>
      <c r="Z47" s="139">
        <v>1802</v>
      </c>
      <c r="AA47" s="140"/>
      <c r="AB47" s="100">
        <v>11777</v>
      </c>
      <c r="AC47" s="139">
        <v>14980</v>
      </c>
      <c r="AD47" s="140"/>
      <c r="AE47" s="100">
        <v>6267</v>
      </c>
      <c r="AF47" s="139">
        <v>12566</v>
      </c>
      <c r="AG47" s="140"/>
      <c r="AH47" s="100">
        <v>131</v>
      </c>
      <c r="AI47" s="139">
        <v>1688</v>
      </c>
      <c r="AJ47" s="140"/>
      <c r="AK47" s="100">
        <v>2150</v>
      </c>
      <c r="AL47" s="139">
        <v>2089</v>
      </c>
      <c r="AM47" s="140"/>
      <c r="AN47" s="98">
        <v>11569</v>
      </c>
      <c r="AO47" s="139">
        <v>10422</v>
      </c>
      <c r="AP47" s="140"/>
    </row>
    <row r="48" spans="1:42" ht="15" customHeight="1" thickBot="1">
      <c r="A48" s="22" t="s">
        <v>59</v>
      </c>
      <c r="B48" s="36" t="s">
        <v>32</v>
      </c>
      <c r="C48" s="37" t="s">
        <v>33</v>
      </c>
      <c r="D48" s="99">
        <v>3439</v>
      </c>
      <c r="E48" s="116" t="s">
        <v>34</v>
      </c>
      <c r="F48" s="105">
        <f>53066-1098</f>
        <v>51968</v>
      </c>
      <c r="G48" s="73">
        <f>G47/F47*100</f>
        <v>133.47204438753735</v>
      </c>
      <c r="H48" s="74">
        <f>G47/F48*100</f>
        <v>96.28232758620689</v>
      </c>
      <c r="I48" s="105">
        <v>21207</v>
      </c>
      <c r="J48" s="73">
        <f>J47/I47*100</f>
        <v>124.17236255572067</v>
      </c>
      <c r="K48" s="74">
        <f>J47/I48*100</f>
        <v>98.51464139199321</v>
      </c>
      <c r="L48" s="72">
        <f t="shared" si="1"/>
        <v>73175</v>
      </c>
      <c r="M48" s="73">
        <f>M47/L47*100</f>
        <v>130.59120284278166</v>
      </c>
      <c r="N48" s="74">
        <f>M47/L48*100</f>
        <v>96.92927912538435</v>
      </c>
      <c r="O48" s="72">
        <v>11341</v>
      </c>
      <c r="P48" s="73">
        <f>P47/O47*100</f>
        <v>141.36259249808626</v>
      </c>
      <c r="Q48" s="74">
        <f>P47/O48*100</f>
        <v>97.69861564235957</v>
      </c>
      <c r="R48" s="105">
        <v>12071</v>
      </c>
      <c r="S48" s="73">
        <f>S47/R47*100</f>
        <v>114.86499379830168</v>
      </c>
      <c r="T48" s="74">
        <f>S47/R48*100</f>
        <v>99.73490183083423</v>
      </c>
      <c r="U48" s="29"/>
      <c r="V48" s="22" t="s">
        <v>59</v>
      </c>
      <c r="W48" s="36" t="s">
        <v>32</v>
      </c>
      <c r="X48" s="37" t="s">
        <v>33</v>
      </c>
      <c r="Y48" s="105">
        <v>1808</v>
      </c>
      <c r="Z48" s="73">
        <f>Z47/Y47*100</f>
        <v>177.01375245579567</v>
      </c>
      <c r="AA48" s="74">
        <f>Z47/Y48*100</f>
        <v>99.66814159292035</v>
      </c>
      <c r="AB48" s="105">
        <v>15034</v>
      </c>
      <c r="AC48" s="73">
        <f>AC47/AB47*100</f>
        <v>127.19707905239027</v>
      </c>
      <c r="AD48" s="74">
        <f>AC47/AB48*100</f>
        <v>99.64081415458294</v>
      </c>
      <c r="AE48" s="105">
        <v>12897</v>
      </c>
      <c r="AF48" s="73">
        <f>AF47/AE47*100</f>
        <v>200.51061113770544</v>
      </c>
      <c r="AG48" s="74">
        <f>AF47/AE48*100</f>
        <v>97.43351166938048</v>
      </c>
      <c r="AH48" s="105">
        <v>2041</v>
      </c>
      <c r="AI48" s="73">
        <f>AI47/AH47*100</f>
        <v>1288.5496183206105</v>
      </c>
      <c r="AJ48" s="74">
        <f>AI47/AH48*100</f>
        <v>82.70455658990691</v>
      </c>
      <c r="AK48" s="105">
        <v>2185</v>
      </c>
      <c r="AL48" s="73">
        <f>AL47/AK47*100</f>
        <v>97.16279069767441</v>
      </c>
      <c r="AM48" s="74">
        <f>AL47/AK48*100</f>
        <v>95.60640732265446</v>
      </c>
      <c r="AN48" s="99">
        <v>10876</v>
      </c>
      <c r="AO48" s="73">
        <f>AO47/AN47*100</f>
        <v>90.08557351542916</v>
      </c>
      <c r="AP48" s="74">
        <f>AO47/AN48*100</f>
        <v>95.82567120264804</v>
      </c>
    </row>
    <row r="49" spans="1:42" ht="15" customHeight="1">
      <c r="A49" s="30"/>
      <c r="B49" s="31" t="s">
        <v>29</v>
      </c>
      <c r="C49" s="10" t="s">
        <v>30</v>
      </c>
      <c r="D49" s="102">
        <v>241</v>
      </c>
      <c r="E49" s="117">
        <v>86</v>
      </c>
      <c r="F49" s="104">
        <f>13079-173</f>
        <v>12906</v>
      </c>
      <c r="G49" s="139">
        <f>29789-14663</f>
        <v>15126</v>
      </c>
      <c r="H49" s="140"/>
      <c r="I49" s="104">
        <v>2699</v>
      </c>
      <c r="J49" s="139">
        <v>1895</v>
      </c>
      <c r="K49" s="140"/>
      <c r="L49" s="104">
        <f t="shared" si="1"/>
        <v>15605</v>
      </c>
      <c r="M49" s="125"/>
      <c r="N49" s="126">
        <f>SUM(G49+J49)</f>
        <v>17021</v>
      </c>
      <c r="O49" s="104">
        <v>945</v>
      </c>
      <c r="P49" s="139">
        <v>2751</v>
      </c>
      <c r="Q49" s="140"/>
      <c r="R49" s="104">
        <v>2380</v>
      </c>
      <c r="S49" s="139">
        <v>2318</v>
      </c>
      <c r="T49" s="140"/>
      <c r="U49" s="25"/>
      <c r="V49" s="30"/>
      <c r="W49" s="31" t="s">
        <v>29</v>
      </c>
      <c r="X49" s="10" t="s">
        <v>30</v>
      </c>
      <c r="Y49" s="104">
        <v>659</v>
      </c>
      <c r="Z49" s="139">
        <v>679</v>
      </c>
      <c r="AA49" s="140"/>
      <c r="AB49" s="104">
        <v>78</v>
      </c>
      <c r="AC49" s="139">
        <v>47</v>
      </c>
      <c r="AD49" s="140"/>
      <c r="AE49" s="104">
        <v>1795</v>
      </c>
      <c r="AF49" s="139">
        <v>2567</v>
      </c>
      <c r="AG49" s="140"/>
      <c r="AH49" s="104">
        <v>0</v>
      </c>
      <c r="AI49" s="139">
        <v>118</v>
      </c>
      <c r="AJ49" s="140"/>
      <c r="AK49" s="104">
        <v>1072</v>
      </c>
      <c r="AL49" s="139">
        <v>1085</v>
      </c>
      <c r="AM49" s="140"/>
      <c r="AN49" s="102">
        <v>4496</v>
      </c>
      <c r="AO49" s="139">
        <v>4364</v>
      </c>
      <c r="AP49" s="140"/>
    </row>
    <row r="50" spans="1:42" ht="15" customHeight="1" thickBot="1">
      <c r="A50" s="26" t="s">
        <v>60</v>
      </c>
      <c r="B50" s="32" t="s">
        <v>32</v>
      </c>
      <c r="C50" s="33" t="s">
        <v>33</v>
      </c>
      <c r="D50" s="103">
        <v>1433</v>
      </c>
      <c r="E50" s="118" t="s">
        <v>34</v>
      </c>
      <c r="F50" s="72">
        <f>16750-173</f>
        <v>16577</v>
      </c>
      <c r="G50" s="73">
        <f>G49/F49*100</f>
        <v>117.20130172013017</v>
      </c>
      <c r="H50" s="74">
        <f>G49/F50*100</f>
        <v>91.24690836701454</v>
      </c>
      <c r="I50" s="72">
        <v>2326</v>
      </c>
      <c r="J50" s="73">
        <f>J49/I49*100</f>
        <v>70.21118932938126</v>
      </c>
      <c r="K50" s="74">
        <f>J49/I50*100</f>
        <v>81.47033533963886</v>
      </c>
      <c r="L50" s="72">
        <f t="shared" si="1"/>
        <v>18903</v>
      </c>
      <c r="M50" s="127">
        <f>N49/L49*100</f>
        <v>109.07401473886576</v>
      </c>
      <c r="N50" s="74">
        <f>N49/L50*100</f>
        <v>90.04390837433212</v>
      </c>
      <c r="O50" s="72">
        <v>3344</v>
      </c>
      <c r="P50" s="73">
        <f>P49/O49*100</f>
        <v>291.1111111111111</v>
      </c>
      <c r="Q50" s="74">
        <f>P49/O50*100</f>
        <v>82.26674641148325</v>
      </c>
      <c r="R50" s="72">
        <v>2320</v>
      </c>
      <c r="S50" s="73">
        <f>S49/R49*100</f>
        <v>97.39495798319328</v>
      </c>
      <c r="T50" s="74">
        <f>S49/R50*100</f>
        <v>99.91379310344828</v>
      </c>
      <c r="U50" s="29"/>
      <c r="V50" s="26" t="s">
        <v>60</v>
      </c>
      <c r="W50" s="32" t="s">
        <v>32</v>
      </c>
      <c r="X50" s="33" t="s">
        <v>33</v>
      </c>
      <c r="Y50" s="72">
        <v>750</v>
      </c>
      <c r="Z50" s="73">
        <f>Z49/Y49*100</f>
        <v>103.03490136570561</v>
      </c>
      <c r="AA50" s="74">
        <f>Z49/Y50*100</f>
        <v>90.53333333333333</v>
      </c>
      <c r="AB50" s="72">
        <v>91</v>
      </c>
      <c r="AC50" s="73">
        <f>AC49/AB49*100</f>
        <v>60.256410256410255</v>
      </c>
      <c r="AD50" s="74">
        <f>AC49/AB50*100</f>
        <v>51.64835164835166</v>
      </c>
      <c r="AE50" s="72">
        <v>2696</v>
      </c>
      <c r="AF50" s="73">
        <f>AF49/AE49*100</f>
        <v>143.008356545961</v>
      </c>
      <c r="AG50" s="74">
        <f>AF49/AE50*100</f>
        <v>95.21513353115726</v>
      </c>
      <c r="AH50" s="72">
        <v>119</v>
      </c>
      <c r="AI50" s="73" t="s">
        <v>40</v>
      </c>
      <c r="AJ50" s="74">
        <f>AI49/AH50*100</f>
        <v>99.15966386554622</v>
      </c>
      <c r="AK50" s="72">
        <v>1102</v>
      </c>
      <c r="AL50" s="73">
        <f>AL49/AK49*100</f>
        <v>101.21268656716418</v>
      </c>
      <c r="AM50" s="74">
        <f>AL49/AK50*100</f>
        <v>98.4573502722323</v>
      </c>
      <c r="AN50" s="103">
        <v>4518</v>
      </c>
      <c r="AO50" s="73">
        <f>AO49/AN49*100</f>
        <v>97.06405693950177</v>
      </c>
      <c r="AP50" s="74">
        <f>AO49/AN50*100</f>
        <v>96.59141212926073</v>
      </c>
    </row>
    <row r="51" spans="1:42" ht="15" customHeight="1">
      <c r="A51" s="22"/>
      <c r="B51" s="23" t="s">
        <v>29</v>
      </c>
      <c r="C51" s="24" t="s">
        <v>30</v>
      </c>
      <c r="D51" s="98">
        <v>2351</v>
      </c>
      <c r="E51" s="115">
        <v>6609</v>
      </c>
      <c r="F51" s="100">
        <f>12928-199</f>
        <v>12729</v>
      </c>
      <c r="G51" s="139">
        <f>37628-19805</f>
        <v>17823</v>
      </c>
      <c r="H51" s="140"/>
      <c r="I51" s="100">
        <v>2100</v>
      </c>
      <c r="J51" s="139">
        <v>9175</v>
      </c>
      <c r="K51" s="140"/>
      <c r="L51" s="104">
        <f t="shared" si="1"/>
        <v>14829</v>
      </c>
      <c r="M51" s="139">
        <f>SUM(G51+J51)</f>
        <v>26998</v>
      </c>
      <c r="N51" s="140"/>
      <c r="O51" s="104">
        <v>2405</v>
      </c>
      <c r="P51" s="139">
        <v>1310</v>
      </c>
      <c r="Q51" s="140"/>
      <c r="R51" s="100">
        <v>945</v>
      </c>
      <c r="S51" s="139">
        <v>698</v>
      </c>
      <c r="T51" s="140"/>
      <c r="U51" s="25"/>
      <c r="V51" s="22"/>
      <c r="W51" s="23" t="s">
        <v>29</v>
      </c>
      <c r="X51" s="24" t="s">
        <v>30</v>
      </c>
      <c r="Y51" s="100">
        <v>408</v>
      </c>
      <c r="Z51" s="139">
        <v>320</v>
      </c>
      <c r="AA51" s="140"/>
      <c r="AB51" s="100">
        <v>330</v>
      </c>
      <c r="AC51" s="139">
        <v>154</v>
      </c>
      <c r="AD51" s="140"/>
      <c r="AE51" s="100">
        <v>1832</v>
      </c>
      <c r="AF51" s="139">
        <v>1324</v>
      </c>
      <c r="AG51" s="140"/>
      <c r="AH51" s="100">
        <v>7</v>
      </c>
      <c r="AI51" s="139">
        <v>77</v>
      </c>
      <c r="AJ51" s="140"/>
      <c r="AK51" s="100">
        <v>1150</v>
      </c>
      <c r="AL51" s="139">
        <v>1001</v>
      </c>
      <c r="AM51" s="140"/>
      <c r="AN51" s="98">
        <v>6231</v>
      </c>
      <c r="AO51" s="139">
        <v>4982</v>
      </c>
      <c r="AP51" s="140"/>
    </row>
    <row r="52" spans="1:42" ht="15" customHeight="1" thickBot="1">
      <c r="A52" s="22" t="s">
        <v>61</v>
      </c>
      <c r="B52" s="36" t="s">
        <v>32</v>
      </c>
      <c r="C52" s="37" t="s">
        <v>33</v>
      </c>
      <c r="D52" s="99">
        <v>10162</v>
      </c>
      <c r="E52" s="116" t="s">
        <v>34</v>
      </c>
      <c r="F52" s="105">
        <f>20922-199</f>
        <v>20723</v>
      </c>
      <c r="G52" s="73">
        <f>G51/F51*100</f>
        <v>140.01885458402074</v>
      </c>
      <c r="H52" s="74">
        <f>G51/F52*100</f>
        <v>86.00588717849732</v>
      </c>
      <c r="I52" s="105">
        <v>9707</v>
      </c>
      <c r="J52" s="73">
        <f>J51/I51*100</f>
        <v>436.90476190476187</v>
      </c>
      <c r="K52" s="74">
        <f>J51/I52*100</f>
        <v>94.5194189759967</v>
      </c>
      <c r="L52" s="72">
        <f t="shared" si="1"/>
        <v>30430</v>
      </c>
      <c r="M52" s="73">
        <f>M51/L51*100</f>
        <v>182.06217546699034</v>
      </c>
      <c r="N52" s="74">
        <f>M51/L52*100</f>
        <v>88.72165626026947</v>
      </c>
      <c r="O52" s="72">
        <v>2023</v>
      </c>
      <c r="P52" s="73">
        <f>P51/O51*100</f>
        <v>54.469854469854475</v>
      </c>
      <c r="Q52" s="74">
        <f>P51/O52*100</f>
        <v>64.75531389026199</v>
      </c>
      <c r="R52" s="105">
        <v>731</v>
      </c>
      <c r="S52" s="73">
        <f>S51/R51*100</f>
        <v>73.86243386243386</v>
      </c>
      <c r="T52" s="74">
        <f>S51/R52*100</f>
        <v>95.48563611491107</v>
      </c>
      <c r="U52" s="29"/>
      <c r="V52" s="22" t="s">
        <v>61</v>
      </c>
      <c r="W52" s="36" t="s">
        <v>32</v>
      </c>
      <c r="X52" s="37" t="s">
        <v>33</v>
      </c>
      <c r="Y52" s="105">
        <v>471</v>
      </c>
      <c r="Z52" s="73">
        <f>Z51/Y51*100</f>
        <v>78.43137254901961</v>
      </c>
      <c r="AA52" s="74">
        <f>Z51/Y52*100</f>
        <v>67.94055201698514</v>
      </c>
      <c r="AB52" s="105">
        <v>241</v>
      </c>
      <c r="AC52" s="73">
        <f>AC51/AB51*100</f>
        <v>46.666666666666664</v>
      </c>
      <c r="AD52" s="74">
        <f>AC51/AB52*100</f>
        <v>63.90041493775933</v>
      </c>
      <c r="AE52" s="105">
        <v>1879</v>
      </c>
      <c r="AF52" s="73">
        <f>AF51/AE51*100</f>
        <v>72.27074235807859</v>
      </c>
      <c r="AG52" s="74">
        <f>AF51/AE52*100</f>
        <v>70.4630122405535</v>
      </c>
      <c r="AH52" s="105">
        <v>80</v>
      </c>
      <c r="AI52" s="73">
        <f>AI51/AH51*100</f>
        <v>1100</v>
      </c>
      <c r="AJ52" s="74">
        <f>AI51/AH52*100</f>
        <v>96.25</v>
      </c>
      <c r="AK52" s="105">
        <v>1157</v>
      </c>
      <c r="AL52" s="73">
        <f>AL51/AK51*100</f>
        <v>87.04347826086956</v>
      </c>
      <c r="AM52" s="74">
        <f>AL51/AK52*100</f>
        <v>86.51685393258427</v>
      </c>
      <c r="AN52" s="99">
        <v>6365</v>
      </c>
      <c r="AO52" s="73">
        <f>AO51/AN51*100</f>
        <v>79.95506339271385</v>
      </c>
      <c r="AP52" s="74">
        <f>AO51/AN52*100</f>
        <v>78.27179890023567</v>
      </c>
    </row>
    <row r="53" spans="1:42" ht="15" customHeight="1">
      <c r="A53" s="30" t="s">
        <v>62</v>
      </c>
      <c r="B53" s="31" t="s">
        <v>29</v>
      </c>
      <c r="C53" s="10" t="s">
        <v>30</v>
      </c>
      <c r="D53" s="102">
        <v>4000</v>
      </c>
      <c r="E53" s="117">
        <v>-5308</v>
      </c>
      <c r="F53" s="104">
        <f>23151-200</f>
        <v>22951</v>
      </c>
      <c r="G53" s="139">
        <f>33081-502</f>
        <v>32579</v>
      </c>
      <c r="H53" s="140"/>
      <c r="I53" s="104">
        <v>11500</v>
      </c>
      <c r="J53" s="139">
        <v>5559</v>
      </c>
      <c r="K53" s="140"/>
      <c r="L53" s="104">
        <f t="shared" si="1"/>
        <v>34451</v>
      </c>
      <c r="M53" s="139">
        <f>SUM(G53+J53)</f>
        <v>38138</v>
      </c>
      <c r="N53" s="140"/>
      <c r="O53" s="104">
        <v>7170</v>
      </c>
      <c r="P53" s="139">
        <v>9403</v>
      </c>
      <c r="Q53" s="140"/>
      <c r="R53" s="104">
        <v>4627</v>
      </c>
      <c r="S53" s="139">
        <v>9035</v>
      </c>
      <c r="T53" s="140"/>
      <c r="U53" s="25"/>
      <c r="V53" s="30" t="s">
        <v>62</v>
      </c>
      <c r="W53" s="31" t="s">
        <v>29</v>
      </c>
      <c r="X53" s="10" t="s">
        <v>30</v>
      </c>
      <c r="Y53" s="104">
        <v>1235</v>
      </c>
      <c r="Z53" s="139">
        <v>4033</v>
      </c>
      <c r="AA53" s="140"/>
      <c r="AB53" s="104">
        <v>8126</v>
      </c>
      <c r="AC53" s="139">
        <v>5331</v>
      </c>
      <c r="AD53" s="140"/>
      <c r="AE53" s="104">
        <v>4040</v>
      </c>
      <c r="AF53" s="139">
        <v>2296</v>
      </c>
      <c r="AG53" s="140"/>
      <c r="AH53" s="104">
        <v>19</v>
      </c>
      <c r="AI53" s="139">
        <v>129</v>
      </c>
      <c r="AJ53" s="140"/>
      <c r="AK53" s="104">
        <v>1461</v>
      </c>
      <c r="AL53" s="139">
        <v>1448</v>
      </c>
      <c r="AM53" s="140"/>
      <c r="AN53" s="102">
        <v>5875</v>
      </c>
      <c r="AO53" s="139">
        <v>5575</v>
      </c>
      <c r="AP53" s="140"/>
    </row>
    <row r="54" spans="1:45" ht="15" customHeight="1" thickBot="1">
      <c r="A54" s="26" t="s">
        <v>63</v>
      </c>
      <c r="B54" s="32" t="s">
        <v>32</v>
      </c>
      <c r="C54" s="33" t="s">
        <v>33</v>
      </c>
      <c r="D54" s="103">
        <v>13641</v>
      </c>
      <c r="E54" s="118" t="s">
        <v>34</v>
      </c>
      <c r="F54" s="72">
        <f>40521-200</f>
        <v>40321</v>
      </c>
      <c r="G54" s="73">
        <f>G53/F53*100</f>
        <v>141.95024181952854</v>
      </c>
      <c r="H54" s="74">
        <f>G53/F54*100</f>
        <v>80.79908732422311</v>
      </c>
      <c r="I54" s="72">
        <v>15879</v>
      </c>
      <c r="J54" s="73">
        <f>J53/I53*100</f>
        <v>48.339130434782604</v>
      </c>
      <c r="K54" s="74">
        <f>J53/I54*100</f>
        <v>35.008501794823346</v>
      </c>
      <c r="L54" s="72">
        <f t="shared" si="1"/>
        <v>56200</v>
      </c>
      <c r="M54" s="73">
        <f>M53/L53*100</f>
        <v>110.7021566863081</v>
      </c>
      <c r="N54" s="74">
        <f>M53/L54*100</f>
        <v>67.86120996441282</v>
      </c>
      <c r="O54" s="72">
        <v>15321</v>
      </c>
      <c r="P54" s="73">
        <f>P53/O53*100</f>
        <v>131.1436541143654</v>
      </c>
      <c r="Q54" s="74">
        <f>P53/O54*100</f>
        <v>61.37327850662489</v>
      </c>
      <c r="R54" s="72">
        <v>9304</v>
      </c>
      <c r="S54" s="73">
        <f>S53/R53*100</f>
        <v>195.26691160579207</v>
      </c>
      <c r="T54" s="74">
        <f>S53/R54*100</f>
        <v>97.10877042132417</v>
      </c>
      <c r="U54" s="29"/>
      <c r="V54" s="26" t="s">
        <v>63</v>
      </c>
      <c r="W54" s="32" t="s">
        <v>32</v>
      </c>
      <c r="X54" s="33" t="s">
        <v>33</v>
      </c>
      <c r="Y54" s="72">
        <v>4332</v>
      </c>
      <c r="Z54" s="73">
        <f>Z53/Y53*100</f>
        <v>326.5587044534413</v>
      </c>
      <c r="AA54" s="74">
        <f>Z53/Y54*100</f>
        <v>93.09787626962142</v>
      </c>
      <c r="AB54" s="72">
        <v>8677</v>
      </c>
      <c r="AC54" s="73">
        <f>AC53/AB53*100</f>
        <v>65.60423332512921</v>
      </c>
      <c r="AD54" s="74">
        <f>AC53/AB54*100</f>
        <v>61.4382851215858</v>
      </c>
      <c r="AE54" s="72">
        <v>4240</v>
      </c>
      <c r="AF54" s="73">
        <f>AF53/AE53*100</f>
        <v>56.83168316831683</v>
      </c>
      <c r="AG54" s="74">
        <f>AF53/AE54*100</f>
        <v>54.15094339622642</v>
      </c>
      <c r="AH54" s="72">
        <v>136</v>
      </c>
      <c r="AI54" s="73">
        <f>AI53/AH53*100</f>
        <v>678.9473684210526</v>
      </c>
      <c r="AJ54" s="74">
        <f>AI53/AH54*100</f>
        <v>94.85294117647058</v>
      </c>
      <c r="AK54" s="72">
        <v>1476</v>
      </c>
      <c r="AL54" s="73">
        <f>AL53/AK53*100</f>
        <v>99.11019849418207</v>
      </c>
      <c r="AM54" s="74">
        <f>AL53/AK54*100</f>
        <v>98.1029810298103</v>
      </c>
      <c r="AN54" s="103">
        <v>5969</v>
      </c>
      <c r="AO54" s="73">
        <f>AO53/AN53*100</f>
        <v>94.8936170212766</v>
      </c>
      <c r="AP54" s="74">
        <f>AO53/AN54*100</f>
        <v>93.39922935165019</v>
      </c>
      <c r="AS54" s="1" t="s">
        <v>1</v>
      </c>
    </row>
    <row r="55" spans="1:42" ht="15" customHeight="1">
      <c r="A55" s="22"/>
      <c r="B55" s="23" t="s">
        <v>29</v>
      </c>
      <c r="C55" s="24" t="s">
        <v>30</v>
      </c>
      <c r="D55" s="98">
        <v>12552</v>
      </c>
      <c r="E55" s="115">
        <v>-8723</v>
      </c>
      <c r="F55" s="104">
        <f>43087-660</f>
        <v>42427</v>
      </c>
      <c r="G55" s="139">
        <f>61744-26783</f>
        <v>34961</v>
      </c>
      <c r="H55" s="140"/>
      <c r="I55" s="104">
        <v>12974</v>
      </c>
      <c r="J55" s="139">
        <v>5615</v>
      </c>
      <c r="K55" s="140"/>
      <c r="L55" s="104">
        <f t="shared" si="1"/>
        <v>55401</v>
      </c>
      <c r="M55" s="139">
        <f>SUM(G55+J55)</f>
        <v>40576</v>
      </c>
      <c r="N55" s="140"/>
      <c r="O55" s="104">
        <v>13904</v>
      </c>
      <c r="P55" s="139">
        <v>3057</v>
      </c>
      <c r="Q55" s="140"/>
      <c r="R55" s="100">
        <v>5861</v>
      </c>
      <c r="S55" s="139">
        <v>6476</v>
      </c>
      <c r="T55" s="140"/>
      <c r="U55" s="25"/>
      <c r="V55" s="22"/>
      <c r="W55" s="23" t="s">
        <v>29</v>
      </c>
      <c r="X55" s="24" t="s">
        <v>30</v>
      </c>
      <c r="Y55" s="100">
        <v>757</v>
      </c>
      <c r="Z55" s="139">
        <v>1615</v>
      </c>
      <c r="AA55" s="140"/>
      <c r="AB55" s="100">
        <v>12044</v>
      </c>
      <c r="AC55" s="139">
        <v>8599</v>
      </c>
      <c r="AD55" s="140"/>
      <c r="AE55" s="100">
        <v>5192</v>
      </c>
      <c r="AF55" s="139">
        <v>3835</v>
      </c>
      <c r="AG55" s="140"/>
      <c r="AH55" s="100">
        <v>13</v>
      </c>
      <c r="AI55" s="139">
        <v>1163</v>
      </c>
      <c r="AJ55" s="140"/>
      <c r="AK55" s="100">
        <v>1724</v>
      </c>
      <c r="AL55" s="139">
        <v>1702</v>
      </c>
      <c r="AM55" s="140"/>
      <c r="AN55" s="98">
        <v>10057</v>
      </c>
      <c r="AO55" s="139">
        <v>8902</v>
      </c>
      <c r="AP55" s="140"/>
    </row>
    <row r="56" spans="1:42" ht="15" customHeight="1" thickBot="1">
      <c r="A56" s="22" t="s">
        <v>64</v>
      </c>
      <c r="B56" s="36" t="s">
        <v>32</v>
      </c>
      <c r="C56" s="37" t="s">
        <v>33</v>
      </c>
      <c r="D56" s="99">
        <v>21749</v>
      </c>
      <c r="E56" s="116" t="s">
        <v>34</v>
      </c>
      <c r="F56" s="72">
        <f>50087-660</f>
        <v>49427</v>
      </c>
      <c r="G56" s="73">
        <f>G55/F55*100</f>
        <v>82.40271525208004</v>
      </c>
      <c r="H56" s="74">
        <f>G55/F56*100</f>
        <v>70.73259554494507</v>
      </c>
      <c r="I56" s="72">
        <v>16415</v>
      </c>
      <c r="J56" s="73">
        <f>J55/I55*100</f>
        <v>43.278865423154</v>
      </c>
      <c r="K56" s="74">
        <f>J55/I56*100</f>
        <v>34.20651842826683</v>
      </c>
      <c r="L56" s="72">
        <f t="shared" si="1"/>
        <v>65842</v>
      </c>
      <c r="M56" s="73">
        <f>M55/L55*100</f>
        <v>73.24055522463493</v>
      </c>
      <c r="N56" s="74">
        <f>M55/L56*100</f>
        <v>61.62631754806962</v>
      </c>
      <c r="O56" s="72">
        <v>12453</v>
      </c>
      <c r="P56" s="73">
        <f>P55/O55*100</f>
        <v>21.986478711162256</v>
      </c>
      <c r="Q56" s="74">
        <f>P55/O56*100</f>
        <v>24.548301614068897</v>
      </c>
      <c r="R56" s="105">
        <v>7341</v>
      </c>
      <c r="S56" s="73">
        <f>S55/R55*100</f>
        <v>110.49308991639653</v>
      </c>
      <c r="T56" s="74">
        <f>S55/R56*100</f>
        <v>88.21686418744041</v>
      </c>
      <c r="U56" s="29"/>
      <c r="V56" s="22" t="s">
        <v>64</v>
      </c>
      <c r="W56" s="36" t="s">
        <v>32</v>
      </c>
      <c r="X56" s="37" t="s">
        <v>33</v>
      </c>
      <c r="Y56" s="105">
        <v>1799</v>
      </c>
      <c r="Z56" s="73">
        <f>Z55/Y55*100</f>
        <v>213.34214002642005</v>
      </c>
      <c r="AA56" s="74">
        <f>Z55/Y56*100</f>
        <v>89.77209560867149</v>
      </c>
      <c r="AB56" s="105">
        <v>12023</v>
      </c>
      <c r="AC56" s="73">
        <f>AC55/AB55*100</f>
        <v>71.39654599800731</v>
      </c>
      <c r="AD56" s="74">
        <f>AC55/AB56*100</f>
        <v>71.52125093570656</v>
      </c>
      <c r="AE56" s="105">
        <v>5961</v>
      </c>
      <c r="AF56" s="73">
        <f>AF55/AE55*100</f>
        <v>73.86363636363636</v>
      </c>
      <c r="AG56" s="74">
        <f>AF55/AE56*100</f>
        <v>64.33484314712297</v>
      </c>
      <c r="AH56" s="105">
        <v>1275</v>
      </c>
      <c r="AI56" s="73">
        <f>AI55/AH55*100</f>
        <v>8946.153846153848</v>
      </c>
      <c r="AJ56" s="74">
        <f>AI55/AH56*100</f>
        <v>91.2156862745098</v>
      </c>
      <c r="AK56" s="105">
        <v>1786</v>
      </c>
      <c r="AL56" s="73">
        <f>AL55/AK55*100</f>
        <v>98.72389791183295</v>
      </c>
      <c r="AM56" s="74">
        <f>AL55/AK56*100</f>
        <v>95.29675251959686</v>
      </c>
      <c r="AN56" s="99">
        <v>16681</v>
      </c>
      <c r="AO56" s="73">
        <f>AO55/AN55*100</f>
        <v>88.51546186735607</v>
      </c>
      <c r="AP56" s="74">
        <f>AO55/AN56*100</f>
        <v>53.36610514957136</v>
      </c>
    </row>
    <row r="57" spans="1:42" ht="15" customHeight="1">
      <c r="A57" s="30"/>
      <c r="B57" s="31" t="s">
        <v>29</v>
      </c>
      <c r="C57" s="10" t="s">
        <v>30</v>
      </c>
      <c r="D57" s="106">
        <v>2925</v>
      </c>
      <c r="E57" s="128">
        <v>-10449</v>
      </c>
      <c r="F57" s="104">
        <f>41112-352</f>
        <v>40760</v>
      </c>
      <c r="G57" s="139">
        <f>45058-352</f>
        <v>44706</v>
      </c>
      <c r="H57" s="140"/>
      <c r="I57" s="107">
        <v>19899</v>
      </c>
      <c r="J57" s="139">
        <v>11497</v>
      </c>
      <c r="K57" s="140"/>
      <c r="L57" s="104">
        <f t="shared" si="1"/>
        <v>60659</v>
      </c>
      <c r="M57" s="139">
        <f>SUM(G57+J57)</f>
        <v>56203</v>
      </c>
      <c r="N57" s="140"/>
      <c r="O57" s="104">
        <v>3280</v>
      </c>
      <c r="P57" s="139">
        <v>6900</v>
      </c>
      <c r="Q57" s="140"/>
      <c r="R57" s="104">
        <v>20313</v>
      </c>
      <c r="S57" s="139">
        <v>13836</v>
      </c>
      <c r="T57" s="140"/>
      <c r="U57" s="25"/>
      <c r="V57" s="30"/>
      <c r="W57" s="31" t="s">
        <v>29</v>
      </c>
      <c r="X57" s="10" t="s">
        <v>30</v>
      </c>
      <c r="Y57" s="104">
        <v>1561</v>
      </c>
      <c r="Z57" s="139">
        <v>3281</v>
      </c>
      <c r="AA57" s="140"/>
      <c r="AB57" s="104">
        <v>5882</v>
      </c>
      <c r="AC57" s="139">
        <v>4887</v>
      </c>
      <c r="AD57" s="140"/>
      <c r="AE57" s="104">
        <v>14190</v>
      </c>
      <c r="AF57" s="139">
        <v>14076</v>
      </c>
      <c r="AG57" s="140"/>
      <c r="AH57" s="107">
        <v>0</v>
      </c>
      <c r="AI57" s="139">
        <v>323</v>
      </c>
      <c r="AJ57" s="140"/>
      <c r="AK57" s="107">
        <v>1335</v>
      </c>
      <c r="AL57" s="139">
        <v>1375</v>
      </c>
      <c r="AM57" s="140"/>
      <c r="AN57" s="106">
        <v>11254</v>
      </c>
      <c r="AO57" s="139">
        <v>10028</v>
      </c>
      <c r="AP57" s="140"/>
    </row>
    <row r="58" spans="1:42" ht="15" customHeight="1" thickBot="1">
      <c r="A58" s="26" t="s">
        <v>65</v>
      </c>
      <c r="B58" s="32" t="s">
        <v>32</v>
      </c>
      <c r="C58" s="33" t="s">
        <v>33</v>
      </c>
      <c r="D58" s="103">
        <v>6655</v>
      </c>
      <c r="E58" s="118" t="s">
        <v>34</v>
      </c>
      <c r="F58" s="72">
        <f>52034-352</f>
        <v>51682</v>
      </c>
      <c r="G58" s="73">
        <f>G57/F57*100</f>
        <v>109.68105986261041</v>
      </c>
      <c r="H58" s="74">
        <f>G57/F58*100</f>
        <v>86.5020703533145</v>
      </c>
      <c r="I58" s="72">
        <v>19670</v>
      </c>
      <c r="J58" s="73">
        <f>J57/I57*100</f>
        <v>57.77677270214584</v>
      </c>
      <c r="K58" s="74">
        <f>J57/I58*100</f>
        <v>58.44941535332995</v>
      </c>
      <c r="L58" s="72">
        <f t="shared" si="1"/>
        <v>71352</v>
      </c>
      <c r="M58" s="73">
        <f>M57/L57*100</f>
        <v>92.65401671639822</v>
      </c>
      <c r="N58" s="74">
        <f>M57/L58*100</f>
        <v>78.76863998206078</v>
      </c>
      <c r="O58" s="72">
        <v>10800</v>
      </c>
      <c r="P58" s="73">
        <f>P57/O57*100</f>
        <v>210.36585365853657</v>
      </c>
      <c r="Q58" s="74">
        <f>P57/O58*100</f>
        <v>63.888888888888886</v>
      </c>
      <c r="R58" s="72">
        <v>18202</v>
      </c>
      <c r="S58" s="73">
        <f>S57/R57*100</f>
        <v>68.11401565499926</v>
      </c>
      <c r="T58" s="74">
        <f>S57/R58*100</f>
        <v>76.01362487638721</v>
      </c>
      <c r="U58" s="29"/>
      <c r="V58" s="26" t="s">
        <v>65</v>
      </c>
      <c r="W58" s="32" t="s">
        <v>32</v>
      </c>
      <c r="X58" s="33" t="s">
        <v>33</v>
      </c>
      <c r="Y58" s="72">
        <v>3582</v>
      </c>
      <c r="Z58" s="73">
        <f>Z57/Y57*100</f>
        <v>210.18577834721333</v>
      </c>
      <c r="AA58" s="74">
        <f>Z57/Y58*100</f>
        <v>91.59687325516471</v>
      </c>
      <c r="AB58" s="72">
        <v>5915</v>
      </c>
      <c r="AC58" s="73">
        <f>AC57/AB57*100</f>
        <v>83.08398503910234</v>
      </c>
      <c r="AD58" s="74">
        <f>AC57/AB58*100</f>
        <v>82.62045646661032</v>
      </c>
      <c r="AE58" s="72">
        <v>14708</v>
      </c>
      <c r="AF58" s="73">
        <f>AF57/AE57*100</f>
        <v>99.19661733615222</v>
      </c>
      <c r="AG58" s="74">
        <f>AF57/AE58*100</f>
        <v>95.7030187652978</v>
      </c>
      <c r="AH58" s="72">
        <v>323</v>
      </c>
      <c r="AI58" s="73" t="s">
        <v>40</v>
      </c>
      <c r="AJ58" s="74">
        <f>AI57/AH58*100</f>
        <v>100</v>
      </c>
      <c r="AK58" s="72">
        <v>1375</v>
      </c>
      <c r="AL58" s="73">
        <f>AL57/AK57*100</f>
        <v>102.99625468164794</v>
      </c>
      <c r="AM58" s="74">
        <f>AL57/AK58*100</f>
        <v>100</v>
      </c>
      <c r="AN58" s="103">
        <v>11161</v>
      </c>
      <c r="AO58" s="73">
        <f>AO57/AN57*100</f>
        <v>89.10609561044961</v>
      </c>
      <c r="AP58" s="74">
        <f>AO57/AN58*100</f>
        <v>89.84857987635516</v>
      </c>
    </row>
    <row r="59" spans="1:47" ht="15" customHeight="1">
      <c r="A59" s="30"/>
      <c r="B59" s="31" t="s">
        <v>29</v>
      </c>
      <c r="C59" s="10" t="s">
        <v>30</v>
      </c>
      <c r="D59" s="102">
        <v>0</v>
      </c>
      <c r="E59" s="117">
        <v>-1705</v>
      </c>
      <c r="F59" s="104">
        <f>13162-194</f>
        <v>12968</v>
      </c>
      <c r="G59" s="139">
        <f>26572-13189</f>
        <v>13383</v>
      </c>
      <c r="H59" s="140"/>
      <c r="I59" s="102">
        <v>1000</v>
      </c>
      <c r="J59" s="139">
        <v>601</v>
      </c>
      <c r="K59" s="140"/>
      <c r="L59" s="104">
        <f t="shared" si="1"/>
        <v>13968</v>
      </c>
      <c r="M59" s="139">
        <f>SUM(G59+J59)</f>
        <v>13984</v>
      </c>
      <c r="N59" s="140"/>
      <c r="O59" s="104">
        <v>2502</v>
      </c>
      <c r="P59" s="139">
        <v>4594</v>
      </c>
      <c r="Q59" s="140"/>
      <c r="R59" s="104">
        <v>0</v>
      </c>
      <c r="S59" s="139">
        <v>0</v>
      </c>
      <c r="T59" s="140"/>
      <c r="U59" s="25"/>
      <c r="V59" s="30"/>
      <c r="W59" s="31" t="s">
        <v>29</v>
      </c>
      <c r="X59" s="10" t="s">
        <v>30</v>
      </c>
      <c r="Y59" s="104">
        <v>833</v>
      </c>
      <c r="Z59" s="139">
        <v>897</v>
      </c>
      <c r="AA59" s="140"/>
      <c r="AB59" s="104">
        <v>1330</v>
      </c>
      <c r="AC59" s="139">
        <v>863</v>
      </c>
      <c r="AD59" s="140"/>
      <c r="AE59" s="104">
        <v>2392</v>
      </c>
      <c r="AF59" s="139">
        <v>1884</v>
      </c>
      <c r="AG59" s="140"/>
      <c r="AH59" s="104">
        <v>0</v>
      </c>
      <c r="AI59" s="139">
        <v>73</v>
      </c>
      <c r="AJ59" s="140"/>
      <c r="AK59" s="104">
        <v>1341</v>
      </c>
      <c r="AL59" s="139">
        <v>1078</v>
      </c>
      <c r="AM59" s="140"/>
      <c r="AN59" s="104">
        <v>3973</v>
      </c>
      <c r="AO59" s="139">
        <v>3960</v>
      </c>
      <c r="AP59" s="140"/>
      <c r="AU59" s="1" t="s">
        <v>1</v>
      </c>
    </row>
    <row r="60" spans="1:42" ht="15" customHeight="1" thickBot="1">
      <c r="A60" s="26" t="s">
        <v>66</v>
      </c>
      <c r="B60" s="32" t="s">
        <v>32</v>
      </c>
      <c r="C60" s="33" t="s">
        <v>33</v>
      </c>
      <c r="D60" s="99">
        <v>15548</v>
      </c>
      <c r="E60" s="116" t="s">
        <v>34</v>
      </c>
      <c r="F60" s="72">
        <f>25209-194</f>
        <v>25015</v>
      </c>
      <c r="G60" s="73">
        <f>G59/F59*100</f>
        <v>103.20018507094386</v>
      </c>
      <c r="H60" s="74">
        <f>G59/F60*100</f>
        <v>53.49990005996402</v>
      </c>
      <c r="I60" s="99">
        <v>4862</v>
      </c>
      <c r="J60" s="73">
        <f>J59/I59*100</f>
        <v>60.099999999999994</v>
      </c>
      <c r="K60" s="74">
        <f>J59/I60*100</f>
        <v>12.361168243521185</v>
      </c>
      <c r="L60" s="72">
        <f t="shared" si="1"/>
        <v>29877</v>
      </c>
      <c r="M60" s="73">
        <f>M59/L59*100</f>
        <v>100.11454753722795</v>
      </c>
      <c r="N60" s="74">
        <f>M59/L60*100</f>
        <v>46.80523479599692</v>
      </c>
      <c r="O60" s="72">
        <v>12564</v>
      </c>
      <c r="P60" s="73">
        <f>P59/O59*100</f>
        <v>183.61310951239008</v>
      </c>
      <c r="Q60" s="74">
        <f>P59/O60*100</f>
        <v>36.56478828398599</v>
      </c>
      <c r="R60" s="72">
        <v>0</v>
      </c>
      <c r="S60" s="73" t="s">
        <v>40</v>
      </c>
      <c r="T60" s="74" t="s">
        <v>34</v>
      </c>
      <c r="U60" s="29"/>
      <c r="V60" s="26" t="s">
        <v>66</v>
      </c>
      <c r="W60" s="32" t="s">
        <v>32</v>
      </c>
      <c r="X60" s="33" t="s">
        <v>33</v>
      </c>
      <c r="Y60" s="72">
        <v>1179</v>
      </c>
      <c r="Z60" s="73">
        <f>Z59/Y59*100</f>
        <v>107.68307322929172</v>
      </c>
      <c r="AA60" s="74">
        <f>Z59/Y60*100</f>
        <v>76.08142493638677</v>
      </c>
      <c r="AB60" s="72">
        <v>3006</v>
      </c>
      <c r="AC60" s="73">
        <f>AC59/AB59*100</f>
        <v>64.88721804511279</v>
      </c>
      <c r="AD60" s="74">
        <f>AC59/AB60*100</f>
        <v>28.709248170326013</v>
      </c>
      <c r="AE60" s="72">
        <v>4749</v>
      </c>
      <c r="AF60" s="73">
        <f>AF59/AE59*100</f>
        <v>78.76254180602007</v>
      </c>
      <c r="AG60" s="74">
        <f>AF59/AE60*100</f>
        <v>39.67150979153506</v>
      </c>
      <c r="AH60" s="72">
        <v>73</v>
      </c>
      <c r="AI60" s="73" t="s">
        <v>40</v>
      </c>
      <c r="AJ60" s="74">
        <f>AI59/AH60*100</f>
        <v>100</v>
      </c>
      <c r="AK60" s="72">
        <v>1381</v>
      </c>
      <c r="AL60" s="73">
        <f>AL59/AK59*100</f>
        <v>80.38777032065623</v>
      </c>
      <c r="AM60" s="74">
        <f>AL59/AK60*100</f>
        <v>78.059377262853</v>
      </c>
      <c r="AN60" s="105">
        <v>4954</v>
      </c>
      <c r="AO60" s="73">
        <f>AO59/AN59*100</f>
        <v>99.6727913415555</v>
      </c>
      <c r="AP60" s="74">
        <f>AO59/AN60*100</f>
        <v>79.93540573274122</v>
      </c>
    </row>
    <row r="61" spans="1:42" ht="15" customHeight="1">
      <c r="A61" s="22"/>
      <c r="B61" s="56" t="s">
        <v>29</v>
      </c>
      <c r="C61" s="57" t="s">
        <v>30</v>
      </c>
      <c r="D61" s="106">
        <v>0</v>
      </c>
      <c r="E61" s="128">
        <v>-1229</v>
      </c>
      <c r="F61" s="108">
        <f>7867-135</f>
        <v>7732</v>
      </c>
      <c r="G61" s="139">
        <f>18524-11259</f>
        <v>7265</v>
      </c>
      <c r="H61" s="140"/>
      <c r="I61" s="107">
        <v>1000</v>
      </c>
      <c r="J61" s="139">
        <v>2209</v>
      </c>
      <c r="K61" s="140"/>
      <c r="L61" s="104">
        <f t="shared" si="1"/>
        <v>8732</v>
      </c>
      <c r="M61" s="139">
        <f>SUM(G61+J61)</f>
        <v>9474</v>
      </c>
      <c r="N61" s="140"/>
      <c r="O61" s="104">
        <v>1780</v>
      </c>
      <c r="P61" s="139">
        <v>2090</v>
      </c>
      <c r="Q61" s="140"/>
      <c r="R61" s="108">
        <v>408</v>
      </c>
      <c r="S61" s="139">
        <v>394</v>
      </c>
      <c r="T61" s="140"/>
      <c r="U61" s="25"/>
      <c r="V61" s="22"/>
      <c r="W61" s="56" t="s">
        <v>29</v>
      </c>
      <c r="X61" s="57" t="s">
        <v>30</v>
      </c>
      <c r="Y61" s="108">
        <v>630</v>
      </c>
      <c r="Z61" s="139">
        <v>522</v>
      </c>
      <c r="AA61" s="140"/>
      <c r="AB61" s="108">
        <v>150</v>
      </c>
      <c r="AC61" s="139">
        <v>127</v>
      </c>
      <c r="AD61" s="140"/>
      <c r="AE61" s="108">
        <v>1276</v>
      </c>
      <c r="AF61" s="139">
        <v>1661</v>
      </c>
      <c r="AG61" s="140"/>
      <c r="AH61" s="107">
        <v>15</v>
      </c>
      <c r="AI61" s="139">
        <v>175</v>
      </c>
      <c r="AJ61" s="140"/>
      <c r="AK61" s="107">
        <v>1275</v>
      </c>
      <c r="AL61" s="139">
        <v>1211</v>
      </c>
      <c r="AM61" s="140"/>
      <c r="AN61" s="107">
        <v>2679</v>
      </c>
      <c r="AO61" s="139">
        <v>3013</v>
      </c>
      <c r="AP61" s="140"/>
    </row>
    <row r="62" spans="1:42" ht="15" customHeight="1" thickBot="1">
      <c r="A62" s="19" t="s">
        <v>67</v>
      </c>
      <c r="B62" s="58" t="s">
        <v>32</v>
      </c>
      <c r="C62" s="59" t="s">
        <v>33</v>
      </c>
      <c r="D62" s="129">
        <v>637</v>
      </c>
      <c r="E62" s="130" t="s">
        <v>34</v>
      </c>
      <c r="F62" s="109">
        <f>9029-135</f>
        <v>8894</v>
      </c>
      <c r="G62" s="73">
        <f>G61/F61*100</f>
        <v>93.96016554578375</v>
      </c>
      <c r="H62" s="74">
        <f>G61/F62*100</f>
        <v>81.68428153811558</v>
      </c>
      <c r="I62" s="109">
        <v>3169</v>
      </c>
      <c r="J62" s="73">
        <f>J61/I61*100</f>
        <v>220.9</v>
      </c>
      <c r="K62" s="74">
        <f>J61/I62*100</f>
        <v>69.70653202903124</v>
      </c>
      <c r="L62" s="109">
        <f t="shared" si="1"/>
        <v>12063</v>
      </c>
      <c r="M62" s="73">
        <f>M61/L61*100</f>
        <v>108.49748053137884</v>
      </c>
      <c r="N62" s="74">
        <f>M61/L62*100</f>
        <v>78.53767719472768</v>
      </c>
      <c r="O62" s="109">
        <v>3214</v>
      </c>
      <c r="P62" s="73">
        <f>P61/O61*100</f>
        <v>117.41573033707866</v>
      </c>
      <c r="Q62" s="74">
        <f>P61/O62*100</f>
        <v>65.02800248911015</v>
      </c>
      <c r="R62" s="109">
        <v>475</v>
      </c>
      <c r="S62" s="73">
        <f>S61/R61*100</f>
        <v>96.56862745098039</v>
      </c>
      <c r="T62" s="74">
        <f>S61/R62*100</f>
        <v>82.94736842105263</v>
      </c>
      <c r="U62" s="29"/>
      <c r="V62" s="19" t="s">
        <v>67</v>
      </c>
      <c r="W62" s="58" t="s">
        <v>32</v>
      </c>
      <c r="X62" s="59" t="s">
        <v>33</v>
      </c>
      <c r="Y62" s="109">
        <v>693</v>
      </c>
      <c r="Z62" s="73">
        <f>Z61/Y61*100</f>
        <v>82.85714285714286</v>
      </c>
      <c r="AA62" s="74">
        <f>Z61/Y62*100</f>
        <v>75.32467532467533</v>
      </c>
      <c r="AB62" s="109">
        <v>156</v>
      </c>
      <c r="AC62" s="73">
        <f>AC61/AB61*100</f>
        <v>84.66666666666667</v>
      </c>
      <c r="AD62" s="74">
        <f>AC61/AB62*100</f>
        <v>81.41025641025641</v>
      </c>
      <c r="AE62" s="109">
        <v>2046</v>
      </c>
      <c r="AF62" s="73">
        <f>AF61/AE61*100</f>
        <v>130.17241379310346</v>
      </c>
      <c r="AG62" s="74">
        <f>AF61/AE62*100</f>
        <v>81.18279569892472</v>
      </c>
      <c r="AH62" s="109">
        <v>190</v>
      </c>
      <c r="AI62" s="73">
        <f>AI61/AH61*100</f>
        <v>1166.6666666666665</v>
      </c>
      <c r="AJ62" s="74">
        <f>AI61/AH62*100</f>
        <v>92.10526315789474</v>
      </c>
      <c r="AK62" s="109">
        <v>1275</v>
      </c>
      <c r="AL62" s="73">
        <f>AL61/AK61*100</f>
        <v>94.98039215686275</v>
      </c>
      <c r="AM62" s="74">
        <f>AL61/AK62*100</f>
        <v>94.98039215686275</v>
      </c>
      <c r="AN62" s="109">
        <v>3243</v>
      </c>
      <c r="AO62" s="73">
        <f>AO61/AN61*100</f>
        <v>112.46733855916386</v>
      </c>
      <c r="AP62" s="74">
        <f>AO61/AN62*100</f>
        <v>92.90780141843972</v>
      </c>
    </row>
    <row r="63" spans="1:42" ht="15" customHeight="1" thickTop="1">
      <c r="A63" s="22"/>
      <c r="B63" s="60" t="s">
        <v>29</v>
      </c>
      <c r="C63" s="61" t="s">
        <v>30</v>
      </c>
      <c r="D63" s="100">
        <f>SUM(D8+D10+D12+D14+D16+D18+D20+D22+D24+D26+D28+D30+D41+D43+D45+D47+D49+D51+D53+D55+D57+D59+D61)</f>
        <v>288209</v>
      </c>
      <c r="E63" s="115">
        <f>SUM(E8+E10+E12+E14+E16+E18+E20+E22+E24+E26+E28+E30+E41+E43+E45+E47+E49+E51+E53+E55+E57+E59+E61)</f>
        <v>-276666</v>
      </c>
      <c r="F63" s="100">
        <f>SUM(F8+F10+F12+F14+F16+F18+F20+F22+F24+F26+F28+F30+F41+F43+F45+F47+F49+F51+F53+F55+F57+F59+F61)</f>
        <v>2146952</v>
      </c>
      <c r="G63" s="133">
        <f>SUM(G8+G10+G12+G14+G16+G18+G20+G22+G24+G26+G28+G30+G41+G43+G45+G47+G49+G51+G53+G55+G57+G59+G61)</f>
        <v>2240908</v>
      </c>
      <c r="H63" s="134"/>
      <c r="I63" s="98">
        <f>SUM(I8+I10+I12+I14+I16+I18+I20+I22+I24+I26+I28+I30+I41+I43+I45+I47+I49+I51+I53+I55+I57+I59+I61)</f>
        <v>418401</v>
      </c>
      <c r="J63" s="133">
        <f>SUM(J8+J10+J12+J14+J16+J18+J20+J22+J24+J26+J28+J30+J41+J43+J45+J47+J49+J51+J53+J55+J57+J59+J61)</f>
        <v>322600</v>
      </c>
      <c r="K63" s="134"/>
      <c r="L63" s="100">
        <f t="shared" si="1"/>
        <v>2565353</v>
      </c>
      <c r="M63" s="133">
        <f>M8+M10+M12+M14+M16+M18+M20+M22+M24+M26+M28+M30+M41+M43+M45+M47+N49+M51+M53+M55+M57+M59+M61</f>
        <v>2563508</v>
      </c>
      <c r="N63" s="134"/>
      <c r="O63" s="98">
        <f>SUM(O8+O10+O12+O14+O16+O18+O20+O22+O24+O26+O28+O30+O41+O43+O45+O47+O49+O51+O53+O55+O57+O59+O61)</f>
        <v>232732</v>
      </c>
      <c r="P63" s="133">
        <f>SUM(P8+P10+P12+P14+P16+P18+P20+P22+P24+P26+P28+P30+P41+P43+P45+P47+P49+P51+P53+P55+P57+P59+P61)</f>
        <v>224266</v>
      </c>
      <c r="Q63" s="134"/>
      <c r="R63" s="100">
        <f>SUM(R8+R10+R12+R14+R16+R18+R20+R22+R24+R26+R28+R30+R41+R43+R45+R47+R49+R51+R53+R55+R57+R59+R61)</f>
        <v>384015</v>
      </c>
      <c r="S63" s="133">
        <f>SUM(S8+S10+S12+S14+S16+S18+S20+S22+S24+S26+S28+S30+S41+S43+S45+S47+S49+S51+S53+S55+S57+S59+S61)</f>
        <v>416337</v>
      </c>
      <c r="T63" s="134"/>
      <c r="U63" s="25"/>
      <c r="V63" s="22"/>
      <c r="W63" s="60" t="s">
        <v>29</v>
      </c>
      <c r="X63" s="61" t="s">
        <v>30</v>
      </c>
      <c r="Y63" s="100">
        <f>SUM(Y8+Y10+Y12+Y14+Y16+Y18+Y20+Y22+Y24+Y26+Y28+Y30+Y41+Y43+Y45+Y47+Y49+Y51+Y53+Y55+Y57+Y59+Y61)</f>
        <v>99717</v>
      </c>
      <c r="Z63" s="133">
        <f>SUM(Z8+Z10+Z12+Z14+Z16+Z18+Z20+Z22+Z24+Z26+Z28+Z30+Z41+Z43+Z45+Z47+Z49+Z51+Z53+Z55+Z57+Z59+Z61)</f>
        <v>106069</v>
      </c>
      <c r="AA63" s="134"/>
      <c r="AB63" s="100">
        <f>SUM(AB8+AB10+AB12+AB14+AB16+AB18+AB20+AB22+AB24+AB26+AB28+AB30+AB41+AB43+AB45+AB47+AB49+AB51+AB53+AB55+AB57+AB59+AB61)</f>
        <v>676299</v>
      </c>
      <c r="AC63" s="133">
        <f>SUM(AC8+AC10+AC12+AC14+AC16+AC18+AC20+AC22+AC24+AC26+AC28+AC30+AC41+AC43+AC45+AC47+AC49+AC51+AC53+AC55+AC57+AC59+AC61)</f>
        <v>601693</v>
      </c>
      <c r="AD63" s="134"/>
      <c r="AE63" s="100">
        <f>SUM(AE8+AE10+AE12+AE14+AE16+AE18+AE20+AE22+AE24+AE26+AE28+AE30+AE41+AE43+AE45+AE47+AE49+AE51+AE53+AE55+AE57+AE59+AE61)</f>
        <v>308661</v>
      </c>
      <c r="AF63" s="133">
        <f>SUM(AF8+AF10+AF12+AF14+AF16+AF18+AF20+AF22+AF24+AF26+AF28+AF30+AF41+AF43+AF45+AF47+AF49+AF51+AF53+AF55+AF57+AF59+AF61)</f>
        <v>320238</v>
      </c>
      <c r="AG63" s="134"/>
      <c r="AH63" s="100">
        <f>SUM(AH8+AH10+AH12+AH14+AH16+AH18+AH20+AH22+AH24+AH26+AH28+AH30+AH41+AH43+AH45+AH47+AH49+AH51+AH53+AH55+AH57+AH59+AH61)</f>
        <v>86761</v>
      </c>
      <c r="AI63" s="133">
        <f>SUM(AI8+AI10+AI12+AI14+AI16+AI18+AI20+AI22+AI24+AI26+AI28+AI30+AI41+AI43+AI45+AI47+AI49+AI51+AI53+AI55+AI57+AI59+AI61)</f>
        <v>143126</v>
      </c>
      <c r="AJ63" s="134"/>
      <c r="AK63" s="100">
        <f>SUM(AK8+AK10+AK12+AK14+AK16+AK18+AK20+AK22+AK24+AK26+AK28+AK30+AK41+AK43+AK45+AK47+AK49+AK51+AK53+AK55+AK57+AK59+AK61)</f>
        <v>69715</v>
      </c>
      <c r="AL63" s="133">
        <f>SUM(AL8+AL10+AL12+AL14+AL16+AL18+AL20+AL22+AL24+AL26+AL28+AL30+AL41+AL43+AL45+AL47+AL49+AL51+AL53+AL55+AL57+AL59+AL61)</f>
        <v>66328</v>
      </c>
      <c r="AM63" s="134"/>
      <c r="AN63" s="100">
        <f>SUM(AN8+AN10+AN12+AN14+AN16+AN18+AN20+AN22+AN24+AN26+AN28+AN30+AN41+AN43+AN45+AN47+AN49+AN51+AN53+AN55+AN57+AN59+AN61)</f>
        <v>548360</v>
      </c>
      <c r="AO63" s="133">
        <f>SUM(AO8+AO10+AO12+AO14+AO16+AO18+AO20+AO22+AO24+AO26+AO28+AO30+AO41+AO43+AO45+AO47+AO49+AO51+AO53+AO55+AO57+AO59+AO61)</f>
        <v>515478</v>
      </c>
      <c r="AP63" s="134"/>
    </row>
    <row r="64" spans="1:42" ht="15" customHeight="1" thickBot="1">
      <c r="A64" s="62" t="s">
        <v>68</v>
      </c>
      <c r="B64" s="63" t="s">
        <v>32</v>
      </c>
      <c r="C64" s="64" t="s">
        <v>33</v>
      </c>
      <c r="D64" s="72">
        <f>SUM(D9+D11+D13+D15+D17+D19+D21+D23+D25+D27+D29+D31+D42+D44+D46+D48+D50+D52+D54+D56+D58+D60+D62)</f>
        <v>626818</v>
      </c>
      <c r="E64" s="118" t="s">
        <v>34</v>
      </c>
      <c r="F64" s="72">
        <f>SUM(F9+F11+F13+F15+F17+F19+F21+F23+F25+F27+F29+F31+F42+F44+F46+F48+F50+F52+F54+F56+F58+F60+F62)</f>
        <v>2665614</v>
      </c>
      <c r="G64" s="73">
        <f>G63/F63*100</f>
        <v>104.37625061016735</v>
      </c>
      <c r="H64" s="74">
        <f>G63/F64*100</f>
        <v>84.0672355412299</v>
      </c>
      <c r="I64" s="103">
        <f>SUM(I9+I11+I13+I15+I17+I19+I21+I23+I25+I27+I29+I31+I42+I44+I46+I48+I50+I52+I54+I56+I58+I60+I62)</f>
        <v>639716</v>
      </c>
      <c r="J64" s="73">
        <f>J63/I63*100</f>
        <v>77.10306619726053</v>
      </c>
      <c r="K64" s="74">
        <f>J63/I64*100</f>
        <v>50.42862770354345</v>
      </c>
      <c r="L64" s="72">
        <f t="shared" si="1"/>
        <v>3305330</v>
      </c>
      <c r="M64" s="73">
        <f>M63/L63*100</f>
        <v>99.9280800731907</v>
      </c>
      <c r="N64" s="74">
        <f>M63/L64*100</f>
        <v>77.55679463170092</v>
      </c>
      <c r="O64" s="103">
        <f>SUM(O9+O11+O13+O15+O17+O19+O21+O23+O25+O27+O29+O31+O42+O44+O46+O48+O50+O52+O54+O56+O58+O60+O62)</f>
        <v>326576</v>
      </c>
      <c r="P64" s="73">
        <f>P63/O63*100</f>
        <v>96.3623395149786</v>
      </c>
      <c r="Q64" s="74">
        <f>P63/O64*100</f>
        <v>68.6719171035226</v>
      </c>
      <c r="R64" s="72">
        <f>SUM(R9+R11+R13+R15+R17+R19+R21+R23+R25+R27+R29+R31+R42+R44+R46+R48+R50+R52+R54+R56+R58+R60+R62)</f>
        <v>478498</v>
      </c>
      <c r="S64" s="73">
        <f>S63/R63*100</f>
        <v>108.41685871645639</v>
      </c>
      <c r="T64" s="74">
        <f>S63/R64*100</f>
        <v>87.00914110403805</v>
      </c>
      <c r="U64" s="29"/>
      <c r="V64" s="62" t="s">
        <v>68</v>
      </c>
      <c r="W64" s="63" t="s">
        <v>32</v>
      </c>
      <c r="X64" s="64" t="s">
        <v>33</v>
      </c>
      <c r="Y64" s="72">
        <f>SUM(Y9+Y11+Y13+Y15+Y17+Y19+Y21+Y23+Y25+Y27+Y29+Y31+Y42+Y44+Y46+Y48+Y50+Y52+Y54+Y56+Y58+Y60+Y62)</f>
        <v>144804</v>
      </c>
      <c r="Z64" s="73">
        <f>Z63/Y63*100</f>
        <v>106.37002717691067</v>
      </c>
      <c r="AA64" s="74">
        <f>Z63/Y64*100</f>
        <v>73.25004834120604</v>
      </c>
      <c r="AB64" s="72">
        <f>SUM(AB9+AB11+AB13+AB15+AB17+AB19+AB21+AB23+AB25+AB27+AB29+AB31+AB42+AB44+AB46+AB48+AB50+AB52+AB54+AB56+AB58+AB60+AB62)</f>
        <v>742887</v>
      </c>
      <c r="AC64" s="73">
        <f>AC63/AB63*100</f>
        <v>88.96848878972172</v>
      </c>
      <c r="AD64" s="74">
        <f>AC63/AB64*100</f>
        <v>80.99387928446721</v>
      </c>
      <c r="AE64" s="72">
        <f>SUM(AE9+AE11+AE13+AE15+AE17+AE19+AE21+AE23+AE25+AE27+AE29+AE31+AE42+AE44+AE46+AE48+AE50+AE52+AE54+AE56+AE58+AE60+AE62)</f>
        <v>417890</v>
      </c>
      <c r="AF64" s="73">
        <f>AF63/AE63*100</f>
        <v>103.7507168058161</v>
      </c>
      <c r="AG64" s="74">
        <f>AF63/AE64*100</f>
        <v>76.63212807198066</v>
      </c>
      <c r="AH64" s="72">
        <f>SUM(AH9+AH11+AH13+AH15+AH17+AH19+AH21+AH23+AH25+AH27+AH29+AH31+AH42+AH44+AH46+AH48+AH50+AH52+AH54+AH56+AH58+AH60+AH62)</f>
        <v>155724</v>
      </c>
      <c r="AI64" s="73">
        <f>AI63/AH63*100</f>
        <v>164.96582565899425</v>
      </c>
      <c r="AJ64" s="74">
        <f>AI63/AH64*100</f>
        <v>91.91004597878297</v>
      </c>
      <c r="AK64" s="72">
        <f>SUM(AK9+AK11+AK13+AK15+AK17+AK19+AK21+AK23+AK25+AK27+AK29+AK31+AK42+AK44+AK46+AK48+AK50+AK52+AK54+AK56+AK58+AK60+AK62)</f>
        <v>71471</v>
      </c>
      <c r="AL64" s="73">
        <f>AL63/AK63*100</f>
        <v>95.14164813885102</v>
      </c>
      <c r="AM64" s="74">
        <f>AL63/AK64*100</f>
        <v>92.80407437981839</v>
      </c>
      <c r="AN64" s="72">
        <f>SUM(AN9+AN11+AN13+AN15+AN17+AN19+AN21+AN23+AN25+AN27+AN29+AN31+AN42+AN44+AN46+AN48+AN50+AN52+AN54+AN56+AN58+AN60+AN62)</f>
        <v>598634</v>
      </c>
      <c r="AO64" s="73">
        <f>AO63/AN63*100</f>
        <v>94.00357429425925</v>
      </c>
      <c r="AP64" s="74">
        <f>AO63/AN64*100</f>
        <v>86.10904158467444</v>
      </c>
    </row>
    <row r="65" spans="4:20" s="65" customFormat="1" ht="11.25">
      <c r="D65" s="86"/>
      <c r="E65" s="131"/>
      <c r="F65" s="86"/>
      <c r="G65" s="141"/>
      <c r="H65" s="141"/>
      <c r="I65" s="86"/>
      <c r="J65" s="141"/>
      <c r="K65" s="141"/>
      <c r="L65" s="86"/>
      <c r="M65" s="141"/>
      <c r="N65" s="141"/>
      <c r="R65" s="86"/>
      <c r="S65" s="86"/>
      <c r="T65" s="86"/>
    </row>
    <row r="66" spans="5:42" ht="12.75">
      <c r="E66" s="66"/>
      <c r="F66" s="67"/>
      <c r="G66" s="138"/>
      <c r="H66" s="138"/>
      <c r="I66" s="67"/>
      <c r="J66" s="138"/>
      <c r="K66" s="138"/>
      <c r="L66" s="67"/>
      <c r="M66" s="138"/>
      <c r="N66" s="138"/>
      <c r="O66" s="67"/>
      <c r="R66" s="78"/>
      <c r="S66" s="78"/>
      <c r="T66" s="78"/>
      <c r="Y66" s="66"/>
      <c r="Z66" s="66"/>
      <c r="AE66" s="66"/>
      <c r="AF66" s="137"/>
      <c r="AG66" s="137"/>
      <c r="AH66" s="66"/>
      <c r="AI66" s="66"/>
      <c r="AL66" s="137"/>
      <c r="AM66" s="137"/>
      <c r="AO66" s="137"/>
      <c r="AP66" s="137"/>
    </row>
    <row r="67" spans="6:41" ht="12.75">
      <c r="F67" s="90"/>
      <c r="G67" s="90"/>
      <c r="H67" s="91"/>
      <c r="I67" s="90"/>
      <c r="J67" s="90"/>
      <c r="K67" s="91"/>
      <c r="L67" s="92"/>
      <c r="M67" s="136"/>
      <c r="N67" s="136"/>
      <c r="O67" s="11"/>
      <c r="R67" s="78"/>
      <c r="S67" s="78"/>
      <c r="T67" s="78"/>
      <c r="Y67" s="68"/>
      <c r="Z67" s="66"/>
      <c r="AE67" s="66"/>
      <c r="AF67" s="137"/>
      <c r="AG67" s="137"/>
      <c r="AH67" s="66"/>
      <c r="AI67" s="66"/>
      <c r="AJ67" s="69"/>
      <c r="AL67" s="70"/>
      <c r="AO67" s="70"/>
    </row>
    <row r="68" spans="6:36" ht="12.75">
      <c r="F68" s="90"/>
      <c r="G68" s="93"/>
      <c r="H68" s="93"/>
      <c r="I68" s="94"/>
      <c r="J68" s="93"/>
      <c r="K68" s="95"/>
      <c r="L68" s="92"/>
      <c r="M68" s="96"/>
      <c r="N68" s="97"/>
      <c r="O68" s="11"/>
      <c r="R68" s="87"/>
      <c r="S68" s="135"/>
      <c r="T68" s="135"/>
      <c r="AB68" s="71"/>
      <c r="AE68" s="69"/>
      <c r="AF68" s="69"/>
      <c r="AG68" s="69"/>
      <c r="AH68" s="66"/>
      <c r="AI68" s="69"/>
      <c r="AJ68" s="69"/>
    </row>
    <row r="69" spans="6:36" ht="12.75">
      <c r="F69" s="90"/>
      <c r="G69" s="90"/>
      <c r="H69" s="111"/>
      <c r="I69" s="90"/>
      <c r="J69" s="90"/>
      <c r="K69" s="111"/>
      <c r="L69" s="110"/>
      <c r="M69" s="11"/>
      <c r="N69" s="111"/>
      <c r="O69" s="11"/>
      <c r="R69" s="87"/>
      <c r="S69" s="88"/>
      <c r="T69" s="88"/>
      <c r="AE69" s="66"/>
      <c r="AF69" s="69"/>
      <c r="AG69" s="69"/>
      <c r="AH69" s="69"/>
      <c r="AI69" s="69"/>
      <c r="AJ69" s="69"/>
    </row>
    <row r="70" spans="6:37" ht="13.5" thickBot="1">
      <c r="F70" s="66"/>
      <c r="G70" s="66"/>
      <c r="H70" s="66"/>
      <c r="I70" s="66"/>
      <c r="J70" s="66"/>
      <c r="K70" s="66"/>
      <c r="L70" s="69"/>
      <c r="N70" s="66"/>
      <c r="R70" s="89"/>
      <c r="S70" s="89"/>
      <c r="T70" s="89"/>
      <c r="AE70" s="69"/>
      <c r="AF70" s="69"/>
      <c r="AG70" s="69"/>
      <c r="AH70" s="69"/>
      <c r="AI70" s="69"/>
      <c r="AJ70" s="69"/>
      <c r="AK70" s="74"/>
    </row>
    <row r="71" spans="5:14" ht="12.75">
      <c r="E71" s="132"/>
      <c r="F71" s="66"/>
      <c r="G71" s="66"/>
      <c r="H71" s="66"/>
      <c r="I71" s="66"/>
      <c r="J71" s="66"/>
      <c r="K71" s="66"/>
      <c r="L71" s="69"/>
      <c r="N71" s="66"/>
    </row>
    <row r="72" spans="6:14" ht="12.75">
      <c r="F72" s="66"/>
      <c r="H72" s="112"/>
      <c r="I72" s="112"/>
      <c r="J72" s="112"/>
      <c r="K72" s="112"/>
      <c r="N72" s="112"/>
    </row>
  </sheetData>
  <sheetProtection/>
  <mergeCells count="331">
    <mergeCell ref="A2:T2"/>
    <mergeCell ref="D5:E5"/>
    <mergeCell ref="I5:K5"/>
    <mergeCell ref="L5:N5"/>
    <mergeCell ref="AH5:AN5"/>
    <mergeCell ref="B6:C6"/>
    <mergeCell ref="D6:E6"/>
    <mergeCell ref="F6:H6"/>
    <mergeCell ref="I6:K6"/>
    <mergeCell ref="L6:N6"/>
    <mergeCell ref="O6:Q6"/>
    <mergeCell ref="R6:T6"/>
    <mergeCell ref="W6:X6"/>
    <mergeCell ref="Y6:AA6"/>
    <mergeCell ref="AB6:AD6"/>
    <mergeCell ref="AE6:AG6"/>
    <mergeCell ref="AH6:AJ6"/>
    <mergeCell ref="AK6:AM6"/>
    <mergeCell ref="AN6:AP6"/>
    <mergeCell ref="F7:H7"/>
    <mergeCell ref="I7:K7"/>
    <mergeCell ref="L7:N7"/>
    <mergeCell ref="O7:Q7"/>
    <mergeCell ref="R7:T7"/>
    <mergeCell ref="Y7:AA7"/>
    <mergeCell ref="AB7:AD7"/>
    <mergeCell ref="AE7:AG7"/>
    <mergeCell ref="AH7:AJ7"/>
    <mergeCell ref="AK7:AM7"/>
    <mergeCell ref="AN7:AP7"/>
    <mergeCell ref="G8:H8"/>
    <mergeCell ref="J8:K8"/>
    <mergeCell ref="M8:N8"/>
    <mergeCell ref="P8:Q8"/>
    <mergeCell ref="S8:T8"/>
    <mergeCell ref="Z8:AA8"/>
    <mergeCell ref="AC8:AD8"/>
    <mergeCell ref="AF8:AG8"/>
    <mergeCell ref="AI8:AJ8"/>
    <mergeCell ref="AL8:AM8"/>
    <mergeCell ref="AO8:AP8"/>
    <mergeCell ref="G10:H10"/>
    <mergeCell ref="J10:K10"/>
    <mergeCell ref="M10:N10"/>
    <mergeCell ref="P10:Q10"/>
    <mergeCell ref="S10:T10"/>
    <mergeCell ref="Z10:AA10"/>
    <mergeCell ref="AC10:AD10"/>
    <mergeCell ref="AF10:AG10"/>
    <mergeCell ref="AI10:AJ10"/>
    <mergeCell ref="AL10:AM10"/>
    <mergeCell ref="AO10:AP10"/>
    <mergeCell ref="G12:H12"/>
    <mergeCell ref="J12:K12"/>
    <mergeCell ref="M12:N12"/>
    <mergeCell ref="P12:Q12"/>
    <mergeCell ref="S12:T12"/>
    <mergeCell ref="Z12:AA12"/>
    <mergeCell ref="AC12:AD12"/>
    <mergeCell ref="AF12:AG12"/>
    <mergeCell ref="AI12:AJ12"/>
    <mergeCell ref="AL12:AM12"/>
    <mergeCell ref="AO12:AP12"/>
    <mergeCell ref="G14:H14"/>
    <mergeCell ref="J14:K14"/>
    <mergeCell ref="M14:N14"/>
    <mergeCell ref="P14:Q14"/>
    <mergeCell ref="S14:T14"/>
    <mergeCell ref="Z14:AA14"/>
    <mergeCell ref="AC14:AD14"/>
    <mergeCell ref="AF14:AG14"/>
    <mergeCell ref="AI14:AJ14"/>
    <mergeCell ref="AL14:AM14"/>
    <mergeCell ref="AO14:AP14"/>
    <mergeCell ref="G16:H16"/>
    <mergeCell ref="J16:K16"/>
    <mergeCell ref="M16:N16"/>
    <mergeCell ref="P16:Q16"/>
    <mergeCell ref="S16:T16"/>
    <mergeCell ref="Z16:AA16"/>
    <mergeCell ref="AC16:AD16"/>
    <mergeCell ref="AF16:AG16"/>
    <mergeCell ref="AI16:AJ16"/>
    <mergeCell ref="AL16:AM16"/>
    <mergeCell ref="AO16:AP16"/>
    <mergeCell ref="G18:H18"/>
    <mergeCell ref="J18:K18"/>
    <mergeCell ref="M18:N18"/>
    <mergeCell ref="P18:Q18"/>
    <mergeCell ref="S18:T18"/>
    <mergeCell ref="Z18:AA18"/>
    <mergeCell ref="AC18:AD18"/>
    <mergeCell ref="AF18:AG18"/>
    <mergeCell ref="AI18:AJ18"/>
    <mergeCell ref="AL18:AM18"/>
    <mergeCell ref="AO18:AP18"/>
    <mergeCell ref="G20:H20"/>
    <mergeCell ref="J20:K20"/>
    <mergeCell ref="M20:N20"/>
    <mergeCell ref="P20:Q20"/>
    <mergeCell ref="S20:T20"/>
    <mergeCell ref="Z20:AA20"/>
    <mergeCell ref="AC20:AD20"/>
    <mergeCell ref="AF20:AG20"/>
    <mergeCell ref="AI20:AJ20"/>
    <mergeCell ref="AL20:AM20"/>
    <mergeCell ref="AO20:AP20"/>
    <mergeCell ref="G22:H22"/>
    <mergeCell ref="J22:K22"/>
    <mergeCell ref="M22:N22"/>
    <mergeCell ref="P22:Q22"/>
    <mergeCell ref="S22:T22"/>
    <mergeCell ref="Z22:AA22"/>
    <mergeCell ref="AC22:AD22"/>
    <mergeCell ref="AF22:AG22"/>
    <mergeCell ref="AI22:AJ22"/>
    <mergeCell ref="AL22:AM22"/>
    <mergeCell ref="AO22:AP22"/>
    <mergeCell ref="G24:H24"/>
    <mergeCell ref="J24:K24"/>
    <mergeCell ref="M24:N24"/>
    <mergeCell ref="P24:Q24"/>
    <mergeCell ref="S24:T24"/>
    <mergeCell ref="Z24:AA24"/>
    <mergeCell ref="AC24:AD24"/>
    <mergeCell ref="AF24:AG24"/>
    <mergeCell ref="AI24:AJ24"/>
    <mergeCell ref="AL24:AM24"/>
    <mergeCell ref="AO24:AP24"/>
    <mergeCell ref="G26:H26"/>
    <mergeCell ref="J26:K26"/>
    <mergeCell ref="M26:N26"/>
    <mergeCell ref="P26:Q26"/>
    <mergeCell ref="S26:T26"/>
    <mergeCell ref="Z26:AA26"/>
    <mergeCell ref="AC26:AD26"/>
    <mergeCell ref="AF26:AG26"/>
    <mergeCell ref="AI26:AJ26"/>
    <mergeCell ref="AL26:AM26"/>
    <mergeCell ref="AO26:AP26"/>
    <mergeCell ref="G28:H28"/>
    <mergeCell ref="J28:K28"/>
    <mergeCell ref="M28:N28"/>
    <mergeCell ref="P28:Q28"/>
    <mergeCell ref="S28:T28"/>
    <mergeCell ref="Z28:AA28"/>
    <mergeCell ref="AC28:AD28"/>
    <mergeCell ref="AF28:AG28"/>
    <mergeCell ref="AI28:AJ28"/>
    <mergeCell ref="AL28:AM28"/>
    <mergeCell ref="AO28:AP28"/>
    <mergeCell ref="G30:H30"/>
    <mergeCell ref="J30:K30"/>
    <mergeCell ref="M30:N30"/>
    <mergeCell ref="P30:Q30"/>
    <mergeCell ref="S30:T30"/>
    <mergeCell ref="Z30:AA30"/>
    <mergeCell ref="AC30:AD30"/>
    <mergeCell ref="AF30:AG30"/>
    <mergeCell ref="AI30:AJ30"/>
    <mergeCell ref="AL30:AM30"/>
    <mergeCell ref="AO30:AP30"/>
    <mergeCell ref="AH38:AN38"/>
    <mergeCell ref="B39:C39"/>
    <mergeCell ref="D39:E39"/>
    <mergeCell ref="F39:H39"/>
    <mergeCell ref="I39:K39"/>
    <mergeCell ref="AB39:AD39"/>
    <mergeCell ref="AE39:AG39"/>
    <mergeCell ref="F40:H40"/>
    <mergeCell ref="I40:K40"/>
    <mergeCell ref="O40:Q40"/>
    <mergeCell ref="R40:T40"/>
    <mergeCell ref="Y40:AA40"/>
    <mergeCell ref="D38:E38"/>
    <mergeCell ref="I38:K38"/>
    <mergeCell ref="L38:N38"/>
    <mergeCell ref="AN40:AP40"/>
    <mergeCell ref="L39:N39"/>
    <mergeCell ref="O39:Q39"/>
    <mergeCell ref="R39:T39"/>
    <mergeCell ref="W39:X39"/>
    <mergeCell ref="AH39:AJ39"/>
    <mergeCell ref="Z41:AA41"/>
    <mergeCell ref="AB40:AD40"/>
    <mergeCell ref="AE40:AG40"/>
    <mergeCell ref="AH40:AJ40"/>
    <mergeCell ref="Y39:AA39"/>
    <mergeCell ref="AK40:AM40"/>
    <mergeCell ref="G43:H43"/>
    <mergeCell ref="J43:K43"/>
    <mergeCell ref="M43:N43"/>
    <mergeCell ref="P43:Q43"/>
    <mergeCell ref="S43:T43"/>
    <mergeCell ref="G41:H41"/>
    <mergeCell ref="J41:K41"/>
    <mergeCell ref="M41:N41"/>
    <mergeCell ref="P41:Q41"/>
    <mergeCell ref="S41:T41"/>
    <mergeCell ref="AO43:AP43"/>
    <mergeCell ref="AC41:AD41"/>
    <mergeCell ref="AF41:AG41"/>
    <mergeCell ref="AI41:AJ41"/>
    <mergeCell ref="AL41:AM41"/>
    <mergeCell ref="AO41:AP41"/>
    <mergeCell ref="Z45:AA45"/>
    <mergeCell ref="Z43:AA43"/>
    <mergeCell ref="AC43:AD43"/>
    <mergeCell ref="AF43:AG43"/>
    <mergeCell ref="AI43:AJ43"/>
    <mergeCell ref="AL43:AM43"/>
    <mergeCell ref="S47:T47"/>
    <mergeCell ref="G45:H45"/>
    <mergeCell ref="J45:K45"/>
    <mergeCell ref="M45:N45"/>
    <mergeCell ref="P45:Q45"/>
    <mergeCell ref="S45:T45"/>
    <mergeCell ref="AL47:AM47"/>
    <mergeCell ref="AI49:AJ49"/>
    <mergeCell ref="AL49:AM49"/>
    <mergeCell ref="AO47:AP47"/>
    <mergeCell ref="AC45:AD45"/>
    <mergeCell ref="AF45:AG45"/>
    <mergeCell ref="AI45:AJ45"/>
    <mergeCell ref="AL45:AM45"/>
    <mergeCell ref="AO45:AP45"/>
    <mergeCell ref="AF49:AG49"/>
    <mergeCell ref="G49:H49"/>
    <mergeCell ref="AC49:AD49"/>
    <mergeCell ref="Z47:AA47"/>
    <mergeCell ref="AC47:AD47"/>
    <mergeCell ref="AF47:AG47"/>
    <mergeCell ref="AI47:AJ47"/>
    <mergeCell ref="G47:H47"/>
    <mergeCell ref="J47:K47"/>
    <mergeCell ref="M47:N47"/>
    <mergeCell ref="P47:Q47"/>
    <mergeCell ref="G51:H51"/>
    <mergeCell ref="J51:K51"/>
    <mergeCell ref="M51:N51"/>
    <mergeCell ref="P51:Q51"/>
    <mergeCell ref="S51:T51"/>
    <mergeCell ref="Z51:AA51"/>
    <mergeCell ref="J49:K49"/>
    <mergeCell ref="P49:Q49"/>
    <mergeCell ref="S49:T49"/>
    <mergeCell ref="Z49:AA49"/>
    <mergeCell ref="AO49:AP49"/>
    <mergeCell ref="AC51:AD51"/>
    <mergeCell ref="AF51:AG51"/>
    <mergeCell ref="AI51:AJ51"/>
    <mergeCell ref="AL51:AM51"/>
    <mergeCell ref="AO51:AP51"/>
    <mergeCell ref="G53:H53"/>
    <mergeCell ref="J53:K53"/>
    <mergeCell ref="M53:N53"/>
    <mergeCell ref="P53:Q53"/>
    <mergeCell ref="S53:T53"/>
    <mergeCell ref="Z53:AA53"/>
    <mergeCell ref="AC53:AD53"/>
    <mergeCell ref="AF53:AG53"/>
    <mergeCell ref="AI53:AJ53"/>
    <mergeCell ref="AL53:AM53"/>
    <mergeCell ref="AO53:AP53"/>
    <mergeCell ref="G55:H55"/>
    <mergeCell ref="J55:K55"/>
    <mergeCell ref="M55:N55"/>
    <mergeCell ref="P55:Q55"/>
    <mergeCell ref="S55:T55"/>
    <mergeCell ref="Z55:AA55"/>
    <mergeCell ref="AC55:AD55"/>
    <mergeCell ref="AF55:AG55"/>
    <mergeCell ref="AI55:AJ55"/>
    <mergeCell ref="AL55:AM55"/>
    <mergeCell ref="AO55:AP55"/>
    <mergeCell ref="G57:H57"/>
    <mergeCell ref="J57:K57"/>
    <mergeCell ref="M57:N57"/>
    <mergeCell ref="P57:Q57"/>
    <mergeCell ref="S57:T57"/>
    <mergeCell ref="Z57:AA57"/>
    <mergeCell ref="AF57:AG57"/>
    <mergeCell ref="AI57:AJ57"/>
    <mergeCell ref="AL57:AM57"/>
    <mergeCell ref="AO57:AP57"/>
    <mergeCell ref="AO59:AP59"/>
    <mergeCell ref="AF59:AG59"/>
    <mergeCell ref="AI59:AJ59"/>
    <mergeCell ref="AL59:AM59"/>
    <mergeCell ref="S61:T61"/>
    <mergeCell ref="Z61:AA61"/>
    <mergeCell ref="AC57:AD57"/>
    <mergeCell ref="S59:T59"/>
    <mergeCell ref="Z59:AA59"/>
    <mergeCell ref="AC61:AD61"/>
    <mergeCell ref="AI61:AJ61"/>
    <mergeCell ref="J66:K66"/>
    <mergeCell ref="AF63:AG63"/>
    <mergeCell ref="AL66:AM66"/>
    <mergeCell ref="AC59:AD59"/>
    <mergeCell ref="G61:H61"/>
    <mergeCell ref="G59:H59"/>
    <mergeCell ref="J59:K59"/>
    <mergeCell ref="AF61:AG61"/>
    <mergeCell ref="J61:K61"/>
    <mergeCell ref="G63:H63"/>
    <mergeCell ref="J63:K63"/>
    <mergeCell ref="M63:N63"/>
    <mergeCell ref="M59:N59"/>
    <mergeCell ref="P59:Q59"/>
    <mergeCell ref="G66:H66"/>
    <mergeCell ref="M61:N61"/>
    <mergeCell ref="P61:Q61"/>
    <mergeCell ref="AO61:AP61"/>
    <mergeCell ref="P63:Q63"/>
    <mergeCell ref="S63:T63"/>
    <mergeCell ref="AO63:AP63"/>
    <mergeCell ref="AL61:AM61"/>
    <mergeCell ref="G65:H65"/>
    <mergeCell ref="J65:K65"/>
    <mergeCell ref="M65:N65"/>
    <mergeCell ref="AC63:AD63"/>
    <mergeCell ref="AI63:AJ63"/>
    <mergeCell ref="AL63:AM63"/>
    <mergeCell ref="S68:T68"/>
    <mergeCell ref="M67:N67"/>
    <mergeCell ref="AO66:AP66"/>
    <mergeCell ref="AF67:AG67"/>
    <mergeCell ref="M66:N66"/>
    <mergeCell ref="AF66:AG66"/>
    <mergeCell ref="Z63:AA63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Lindovská Jana</cp:lastModifiedBy>
  <cp:lastPrinted>2017-03-29T11:11:22Z</cp:lastPrinted>
  <dcterms:created xsi:type="dcterms:W3CDTF">1997-01-24T11:07:25Z</dcterms:created>
  <dcterms:modified xsi:type="dcterms:W3CDTF">2017-03-29T11:13:47Z</dcterms:modified>
  <cp:category/>
  <cp:version/>
  <cp:contentType/>
  <cp:contentStatus/>
</cp:coreProperties>
</file>