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928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<sst xmlns="http://schemas.openxmlformats.org/spreadsheetml/2006/main" count="183" uniqueCount="50">
  <si>
    <t>Příloha č. 2</t>
  </si>
  <si>
    <t xml:space="preserve"> </t>
  </si>
  <si>
    <t>(v tis.Kč)</t>
  </si>
  <si>
    <t xml:space="preserve">  Příjmy</t>
  </si>
  <si>
    <t>Přijaté dotace</t>
  </si>
  <si>
    <t>Příjmy celkem</t>
  </si>
  <si>
    <t>Skutečně poskytnutá</t>
  </si>
  <si>
    <t>Městský obvod</t>
  </si>
  <si>
    <t xml:space="preserve"> Ukazatel</t>
  </si>
  <si>
    <t>daňové</t>
  </si>
  <si>
    <t>nedaňové</t>
  </si>
  <si>
    <t>kapitálové</t>
  </si>
  <si>
    <t>po konsolidaci</t>
  </si>
  <si>
    <t>Neinv. dotace ze SMO bez FV</t>
  </si>
  <si>
    <t xml:space="preserve">Inv. dotace ze SMO </t>
  </si>
  <si>
    <t>SR</t>
  </si>
  <si>
    <t>skut.</t>
  </si>
  <si>
    <t>Mor. Ostrava a Přívoz</t>
  </si>
  <si>
    <t>UR</t>
  </si>
  <si>
    <t>%plnění</t>
  </si>
  <si>
    <t>Slezská Ostrava</t>
  </si>
  <si>
    <t>Ostrava - Jih</t>
  </si>
  <si>
    <t>Poruba</t>
  </si>
  <si>
    <t>Nová Bělá</t>
  </si>
  <si>
    <t>x/</t>
  </si>
  <si>
    <t>Vítkovice</t>
  </si>
  <si>
    <t>Stará Bělá</t>
  </si>
  <si>
    <t>x</t>
  </si>
  <si>
    <t>Mar. Hory a Hulváky</t>
  </si>
  <si>
    <t>Petřkovice</t>
  </si>
  <si>
    <t>Lhotka</t>
  </si>
  <si>
    <t>Hošťálkovice</t>
  </si>
  <si>
    <r>
      <t>pozn.</t>
    </r>
    <r>
      <rPr>
        <sz val="8"/>
        <rFont val="Arial CE"/>
        <family val="2"/>
      </rPr>
      <t>:  FV - finanční vypořádání</t>
    </r>
  </si>
  <si>
    <t>Nová Ves</t>
  </si>
  <si>
    <t>Proskovice</t>
  </si>
  <si>
    <t>Michálkovice</t>
  </si>
  <si>
    <t>Radvanice a Bartovice</t>
  </si>
  <si>
    <t>Krásné Pole</t>
  </si>
  <si>
    <t>Martinov</t>
  </si>
  <si>
    <t>Polanka nad Odrou</t>
  </si>
  <si>
    <t>Hrabová</t>
  </si>
  <si>
    <t>Svinov</t>
  </si>
  <si>
    <t>Třebovice</t>
  </si>
  <si>
    <t>Plesná</t>
  </si>
  <si>
    <t>CELKEM</t>
  </si>
  <si>
    <r>
      <t>pozn.</t>
    </r>
    <r>
      <rPr>
        <sz val="8"/>
        <rFont val="Arial CE"/>
        <family val="2"/>
      </rPr>
      <t>:  1)   FV - finanční vypořádání</t>
    </r>
  </si>
  <si>
    <t xml:space="preserve">            2)   neivestiční dotace je očištěna o dotace přijaté od jiných obcí</t>
  </si>
  <si>
    <t>Pustkovec</t>
  </si>
  <si>
    <t xml:space="preserve">  </t>
  </si>
  <si>
    <t xml:space="preserve">          Přehled o plnění rozpočtu k 31.12. 2016 dle jednotlivých městských obvodů - příjmy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</si>
</sst>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/&quot;"/>
    <numFmt numFmtId="165" formatCode="0.0"/>
  </numFmts>
  <fonts count="4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b/>
      <sz val="9"/>
      <color indexed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3" fontId="6" fillId="33" borderId="22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right"/>
    </xf>
    <xf numFmtId="165" fontId="7" fillId="33" borderId="15" xfId="0" applyNumberFormat="1" applyFont="1" applyFill="1" applyBorder="1" applyAlignment="1">
      <alignment horizontal="left"/>
    </xf>
    <xf numFmtId="3" fontId="7" fillId="33" borderId="27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4" fontId="7" fillId="33" borderId="29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/>
    </xf>
    <xf numFmtId="165" fontId="7" fillId="33" borderId="41" xfId="0" applyNumberFormat="1" applyFont="1" applyFill="1" applyBorder="1" applyAlignment="1">
      <alignment horizontal="left"/>
    </xf>
    <xf numFmtId="164" fontId="7" fillId="33" borderId="42" xfId="0" applyNumberFormat="1" applyFont="1" applyFill="1" applyBorder="1" applyAlignment="1">
      <alignment horizontal="right"/>
    </xf>
    <xf numFmtId="165" fontId="7" fillId="33" borderId="43" xfId="0" applyNumberFormat="1" applyFont="1" applyFill="1" applyBorder="1" applyAlignment="1">
      <alignment horizontal="left"/>
    </xf>
    <xf numFmtId="3" fontId="7" fillId="33" borderId="44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3" fontId="13" fillId="33" borderId="46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3" fontId="7" fillId="33" borderId="47" xfId="0" applyNumberFormat="1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7" fillId="33" borderId="50" xfId="0" applyNumberFormat="1" applyFont="1" applyFill="1" applyBorder="1" applyAlignment="1">
      <alignment/>
    </xf>
    <xf numFmtId="3" fontId="7" fillId="33" borderId="51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3" fontId="7" fillId="33" borderId="35" xfId="0" applyNumberFormat="1" applyFont="1" applyFill="1" applyBorder="1" applyAlignment="1">
      <alignment/>
    </xf>
    <xf numFmtId="3" fontId="7" fillId="33" borderId="52" xfId="0" applyNumberFormat="1" applyFont="1" applyFill="1" applyBorder="1" applyAlignment="1">
      <alignment/>
    </xf>
    <xf numFmtId="3" fontId="7" fillId="33" borderId="36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33" borderId="46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164" fontId="7" fillId="33" borderId="54" xfId="0" applyNumberFormat="1" applyFont="1" applyFill="1" applyBorder="1" applyAlignment="1">
      <alignment horizontal="right"/>
    </xf>
    <xf numFmtId="165" fontId="7" fillId="33" borderId="0" xfId="0" applyNumberFormat="1" applyFont="1" applyFill="1" applyBorder="1" applyAlignment="1">
      <alignment horizontal="left"/>
    </xf>
    <xf numFmtId="3" fontId="7" fillId="33" borderId="34" xfId="0" applyNumberFormat="1" applyFont="1" applyFill="1" applyBorder="1" applyAlignment="1">
      <alignment/>
    </xf>
    <xf numFmtId="3" fontId="6" fillId="33" borderId="55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/>
    </xf>
    <xf numFmtId="3" fontId="7" fillId="33" borderId="56" xfId="0" applyNumberFormat="1" applyFont="1" applyFill="1" applyBorder="1" applyAlignment="1">
      <alignment/>
    </xf>
    <xf numFmtId="3" fontId="7" fillId="33" borderId="57" xfId="0" applyNumberFormat="1" applyFont="1" applyFill="1" applyBorder="1" applyAlignment="1">
      <alignment/>
    </xf>
    <xf numFmtId="3" fontId="7" fillId="33" borderId="58" xfId="0" applyNumberFormat="1" applyFont="1" applyFill="1" applyBorder="1" applyAlignment="1">
      <alignment/>
    </xf>
    <xf numFmtId="0" fontId="4" fillId="33" borderId="50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right"/>
    </xf>
    <xf numFmtId="3" fontId="7" fillId="33" borderId="56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3" fontId="7" fillId="33" borderId="57" xfId="0" applyNumberFormat="1" applyFont="1" applyFill="1" applyBorder="1" applyAlignment="1">
      <alignment horizontal="right"/>
    </xf>
    <xf numFmtId="3" fontId="7" fillId="33" borderId="58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PageLayoutView="0" workbookViewId="0" topLeftCell="A1">
      <selection activeCell="Q39" sqref="Q39"/>
    </sheetView>
  </sheetViews>
  <sheetFormatPr defaultColWidth="9.00390625" defaultRowHeight="12.75"/>
  <cols>
    <col min="1" max="1" width="18.75390625" style="1" customWidth="1"/>
    <col min="2" max="2" width="3.625" style="1" bestFit="1" customWidth="1"/>
    <col min="3" max="3" width="7.875" style="1" customWidth="1"/>
    <col min="4" max="4" width="6.625" style="1" bestFit="1" customWidth="1"/>
    <col min="5" max="5" width="6.75390625" style="1" bestFit="1" customWidth="1"/>
    <col min="6" max="6" width="7.00390625" style="1" bestFit="1" customWidth="1"/>
    <col min="7" max="7" width="6.625" style="1" customWidth="1"/>
    <col min="8" max="8" width="7.375" style="1" bestFit="1" customWidth="1"/>
    <col min="9" max="9" width="5.125" style="1" customWidth="1"/>
    <col min="10" max="10" width="6.625" style="1" customWidth="1"/>
    <col min="11" max="11" width="5.875" style="1" customWidth="1"/>
    <col min="12" max="12" width="5.75390625" style="1" customWidth="1"/>
    <col min="13" max="13" width="11.00390625" style="1" customWidth="1"/>
    <col min="14" max="15" width="6.625" style="1" bestFit="1" customWidth="1"/>
    <col min="16" max="16" width="11.25390625" style="1" customWidth="1"/>
    <col min="17" max="17" width="8.00390625" style="1" bestFit="1" customWidth="1"/>
    <col min="18" max="18" width="4.875" style="1" customWidth="1"/>
    <col min="19" max="20" width="12.75390625" style="1" customWidth="1"/>
    <col min="21" max="16384" width="9.125" style="1" customWidth="1"/>
  </cols>
  <sheetData>
    <row r="1" ht="12.75">
      <c r="T1" s="2" t="s">
        <v>0</v>
      </c>
    </row>
    <row r="3" spans="1:20" ht="18" customHeight="1">
      <c r="A3" s="136" t="s">
        <v>49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14" ht="18">
      <c r="A4" s="3"/>
      <c r="B4" s="3"/>
      <c r="C4" s="3" t="s">
        <v>1</v>
      </c>
      <c r="D4" s="1" t="s">
        <v>1</v>
      </c>
      <c r="N4" s="4"/>
    </row>
    <row r="5" spans="6:20" ht="13.5" thickBot="1">
      <c r="F5" s="1" t="s">
        <v>1</v>
      </c>
      <c r="T5" s="5" t="s">
        <v>2</v>
      </c>
    </row>
    <row r="6" spans="1:20" ht="15" customHeight="1">
      <c r="A6" s="6"/>
      <c r="B6" s="7"/>
      <c r="C6" s="8"/>
      <c r="D6" s="111" t="s">
        <v>3</v>
      </c>
      <c r="E6" s="124"/>
      <c r="F6" s="124"/>
      <c r="G6" s="124"/>
      <c r="H6" s="124"/>
      <c r="I6" s="124"/>
      <c r="J6" s="124"/>
      <c r="K6" s="124"/>
      <c r="L6" s="112"/>
      <c r="M6" s="138" t="s">
        <v>4</v>
      </c>
      <c r="N6" s="139"/>
      <c r="O6" s="140"/>
      <c r="P6" s="125" t="s">
        <v>5</v>
      </c>
      <c r="Q6" s="126"/>
      <c r="R6" s="126"/>
      <c r="S6" s="111" t="s">
        <v>6</v>
      </c>
      <c r="T6" s="112"/>
    </row>
    <row r="7" spans="1:20" ht="15" customHeight="1">
      <c r="A7" s="9" t="s">
        <v>7</v>
      </c>
      <c r="B7" s="115" t="s">
        <v>8</v>
      </c>
      <c r="C7" s="116"/>
      <c r="D7" s="117" t="s">
        <v>9</v>
      </c>
      <c r="E7" s="118"/>
      <c r="F7" s="118"/>
      <c r="G7" s="119" t="s">
        <v>10</v>
      </c>
      <c r="H7" s="118"/>
      <c r="I7" s="118"/>
      <c r="J7" s="119" t="s">
        <v>11</v>
      </c>
      <c r="K7" s="118"/>
      <c r="L7" s="120"/>
      <c r="M7" s="141"/>
      <c r="N7" s="142"/>
      <c r="O7" s="143"/>
      <c r="P7" s="115" t="s">
        <v>12</v>
      </c>
      <c r="Q7" s="121"/>
      <c r="R7" s="121"/>
      <c r="S7" s="130" t="s">
        <v>13</v>
      </c>
      <c r="T7" s="132" t="s">
        <v>14</v>
      </c>
    </row>
    <row r="8" spans="1:20" ht="15" customHeight="1" thickBot="1">
      <c r="A8" s="13"/>
      <c r="B8" s="14"/>
      <c r="C8" s="15"/>
      <c r="D8" s="14"/>
      <c r="E8" s="16"/>
      <c r="F8" s="16"/>
      <c r="G8" s="17"/>
      <c r="H8" s="16"/>
      <c r="I8" s="18"/>
      <c r="J8" s="17"/>
      <c r="K8" s="16"/>
      <c r="L8" s="15"/>
      <c r="M8" s="144"/>
      <c r="N8" s="145"/>
      <c r="O8" s="146"/>
      <c r="P8" s="14"/>
      <c r="Q8" s="16"/>
      <c r="R8" s="16"/>
      <c r="S8" s="131"/>
      <c r="T8" s="133"/>
    </row>
    <row r="9" spans="1:20" ht="15" customHeight="1" thickTop="1">
      <c r="A9" s="19"/>
      <c r="B9" s="20" t="s">
        <v>15</v>
      </c>
      <c r="C9" s="21" t="s">
        <v>16</v>
      </c>
      <c r="D9" s="59">
        <v>53480</v>
      </c>
      <c r="E9" s="134">
        <v>43447</v>
      </c>
      <c r="F9" s="135"/>
      <c r="G9" s="59">
        <v>140594</v>
      </c>
      <c r="H9" s="109">
        <v>145823</v>
      </c>
      <c r="I9" s="110"/>
      <c r="J9" s="85">
        <v>3335</v>
      </c>
      <c r="K9" s="109">
        <v>7208</v>
      </c>
      <c r="L9" s="110"/>
      <c r="M9" s="60">
        <f>144762-3376</f>
        <v>141386</v>
      </c>
      <c r="N9" s="109">
        <f>623999-365770</f>
        <v>258229</v>
      </c>
      <c r="O9" s="110"/>
      <c r="P9" s="59">
        <f>SUM(D9+G9+J9+M9)</f>
        <v>338795</v>
      </c>
      <c r="Q9" s="109">
        <f>SUM(E9+H9+K9+N9)</f>
        <v>454707</v>
      </c>
      <c r="R9" s="110"/>
      <c r="S9" s="22"/>
      <c r="T9" s="23"/>
    </row>
    <row r="10" spans="1:20" ht="15" customHeight="1" thickBot="1">
      <c r="A10" s="24" t="s">
        <v>17</v>
      </c>
      <c r="B10" s="25" t="s">
        <v>18</v>
      </c>
      <c r="C10" s="26" t="s">
        <v>19</v>
      </c>
      <c r="D10" s="83">
        <v>44630</v>
      </c>
      <c r="E10" s="61">
        <f>E9/D9*100</f>
        <v>81.2397157816006</v>
      </c>
      <c r="F10" s="62">
        <f>E9/D10*100</f>
        <v>97.3493166031817</v>
      </c>
      <c r="G10" s="84">
        <v>142665</v>
      </c>
      <c r="H10" s="61">
        <f>H9/G9*100</f>
        <v>103.7192198813605</v>
      </c>
      <c r="I10" s="62">
        <f>H9/G10*100</f>
        <v>102.2135772614166</v>
      </c>
      <c r="J10" s="85">
        <v>3335</v>
      </c>
      <c r="K10" s="61">
        <f>K9/J9*100</f>
        <v>216.1319340329835</v>
      </c>
      <c r="L10" s="62">
        <f>K9/J10*100</f>
        <v>216.1319340329835</v>
      </c>
      <c r="M10" s="66">
        <f>271737-3376</f>
        <v>268361</v>
      </c>
      <c r="N10" s="61">
        <f>N9/M9*100</f>
        <v>182.64113844369317</v>
      </c>
      <c r="O10" s="62">
        <f>N9/M10*100</f>
        <v>96.22448865520697</v>
      </c>
      <c r="P10" s="60">
        <f aca="true" t="shared" si="0" ref="P10:P32">SUM(D10+G10+J10+M10)</f>
        <v>458991</v>
      </c>
      <c r="Q10" s="61">
        <f>Q9/P9*100</f>
        <v>134.21301967266342</v>
      </c>
      <c r="R10" s="62">
        <f>Q9/P10*100</f>
        <v>99.06664836565423</v>
      </c>
      <c r="S10" s="84">
        <v>136433</v>
      </c>
      <c r="T10" s="86">
        <v>48227</v>
      </c>
    </row>
    <row r="11" spans="1:20" ht="15" customHeight="1">
      <c r="A11" s="6"/>
      <c r="B11" s="39" t="s">
        <v>15</v>
      </c>
      <c r="C11" s="40" t="s">
        <v>16</v>
      </c>
      <c r="D11" s="63">
        <v>51080</v>
      </c>
      <c r="E11" s="128">
        <v>55135</v>
      </c>
      <c r="F11" s="129"/>
      <c r="G11" s="64">
        <v>73548</v>
      </c>
      <c r="H11" s="107">
        <v>76745</v>
      </c>
      <c r="I11" s="108"/>
      <c r="J11" s="64">
        <v>1000</v>
      </c>
      <c r="K11" s="107">
        <v>1078</v>
      </c>
      <c r="L11" s="108"/>
      <c r="M11" s="63">
        <f>95612-2817</f>
        <v>92795</v>
      </c>
      <c r="N11" s="107">
        <f>420300-309861</f>
        <v>110439</v>
      </c>
      <c r="O11" s="108"/>
      <c r="P11" s="63">
        <f t="shared" si="0"/>
        <v>218423</v>
      </c>
      <c r="Q11" s="107">
        <f>SUM(E11+H11+K11+N11)</f>
        <v>243397</v>
      </c>
      <c r="R11" s="108"/>
      <c r="S11" s="79"/>
      <c r="T11" s="80"/>
    </row>
    <row r="12" spans="1:20" ht="15" customHeight="1" thickBot="1">
      <c r="A12" s="24" t="s">
        <v>20</v>
      </c>
      <c r="B12" s="41" t="s">
        <v>18</v>
      </c>
      <c r="C12" s="42" t="s">
        <v>19</v>
      </c>
      <c r="D12" s="66">
        <v>51080</v>
      </c>
      <c r="E12" s="61">
        <f>E11/D11*100</f>
        <v>107.93852779953015</v>
      </c>
      <c r="F12" s="62">
        <f>E11/D12*100</f>
        <v>107.93852779953015</v>
      </c>
      <c r="G12" s="67">
        <v>74760</v>
      </c>
      <c r="H12" s="61">
        <f>H11/G11*100</f>
        <v>104.34682112361995</v>
      </c>
      <c r="I12" s="62">
        <f>H11/G12*100</f>
        <v>102.65516318887104</v>
      </c>
      <c r="J12" s="67">
        <v>1000</v>
      </c>
      <c r="K12" s="61">
        <f>K11/J11*100</f>
        <v>107.80000000000001</v>
      </c>
      <c r="L12" s="62">
        <f>K11/J12*100</f>
        <v>107.80000000000001</v>
      </c>
      <c r="M12" s="66">
        <f>117979-5817</f>
        <v>112162</v>
      </c>
      <c r="N12" s="61">
        <f>N11/M11*100</f>
        <v>119.01395549329166</v>
      </c>
      <c r="O12" s="62">
        <f>N11/M12*100</f>
        <v>98.46382910433124</v>
      </c>
      <c r="P12" s="60">
        <f t="shared" si="0"/>
        <v>239002</v>
      </c>
      <c r="Q12" s="61">
        <f>Q11/P11*100</f>
        <v>111.43377757836859</v>
      </c>
      <c r="R12" s="62">
        <f>Q11/P12*100</f>
        <v>101.83889674563393</v>
      </c>
      <c r="S12" s="66">
        <v>81829</v>
      </c>
      <c r="T12" s="68">
        <v>7233</v>
      </c>
    </row>
    <row r="13" spans="1:20" ht="15" customHeight="1" thickBot="1">
      <c r="A13" s="6"/>
      <c r="B13" s="39" t="s">
        <v>15</v>
      </c>
      <c r="C13" s="69" t="s">
        <v>16</v>
      </c>
      <c r="D13" s="59">
        <v>60842</v>
      </c>
      <c r="E13" s="107">
        <v>85484</v>
      </c>
      <c r="F13" s="108"/>
      <c r="G13" s="63">
        <v>364385</v>
      </c>
      <c r="H13" s="107">
        <v>377141</v>
      </c>
      <c r="I13" s="108"/>
      <c r="J13" s="64">
        <v>13570</v>
      </c>
      <c r="K13" s="107">
        <v>1472</v>
      </c>
      <c r="L13" s="108"/>
      <c r="M13" s="63">
        <f>317629-0</f>
        <v>317629</v>
      </c>
      <c r="N13" s="107">
        <f>1027191-535409</f>
        <v>491782</v>
      </c>
      <c r="O13" s="108"/>
      <c r="P13" s="63">
        <f t="shared" si="0"/>
        <v>756426</v>
      </c>
      <c r="Q13" s="107">
        <f>SUM(E13+H13+K13+N13)</f>
        <v>955879</v>
      </c>
      <c r="R13" s="108"/>
      <c r="S13" s="66"/>
      <c r="T13" s="80"/>
    </row>
    <row r="14" spans="1:20" ht="15" customHeight="1" thickBot="1">
      <c r="A14" s="24" t="s">
        <v>21</v>
      </c>
      <c r="B14" s="41" t="s">
        <v>18</v>
      </c>
      <c r="C14" s="70" t="s">
        <v>19</v>
      </c>
      <c r="D14" s="66">
        <v>60842</v>
      </c>
      <c r="E14" s="61">
        <f>E13/D13*100</f>
        <v>140.50162716544492</v>
      </c>
      <c r="F14" s="62">
        <f>E13/D14*100</f>
        <v>140.50162716544492</v>
      </c>
      <c r="G14" s="66">
        <v>367904</v>
      </c>
      <c r="H14" s="61">
        <f>H13/G13*100</f>
        <v>103.5006929483925</v>
      </c>
      <c r="I14" s="62">
        <f>H13/G14*100</f>
        <v>102.51070931547359</v>
      </c>
      <c r="J14" s="67">
        <v>13570</v>
      </c>
      <c r="K14" s="61">
        <f>K13/J13*100</f>
        <v>10.847457627118644</v>
      </c>
      <c r="L14" s="62">
        <f>K13/J14*100</f>
        <v>10.847457627118644</v>
      </c>
      <c r="M14" s="66">
        <v>377866</v>
      </c>
      <c r="N14" s="61">
        <f>N13/M13*100</f>
        <v>154.82906157813045</v>
      </c>
      <c r="O14" s="62">
        <f>N13/M14*100</f>
        <v>130.1471950373942</v>
      </c>
      <c r="P14" s="66">
        <f t="shared" si="0"/>
        <v>820182</v>
      </c>
      <c r="Q14" s="61">
        <f>Q13/P13*100</f>
        <v>126.36781390380554</v>
      </c>
      <c r="R14" s="62">
        <f>Q13/P14*100</f>
        <v>116.5447425083701</v>
      </c>
      <c r="S14" s="66">
        <v>289378</v>
      </c>
      <c r="T14" s="68">
        <v>10477</v>
      </c>
    </row>
    <row r="15" spans="1:20" ht="15" customHeight="1" thickBot="1">
      <c r="A15" s="6"/>
      <c r="B15" s="39" t="s">
        <v>15</v>
      </c>
      <c r="C15" s="43" t="s">
        <v>16</v>
      </c>
      <c r="D15" s="63">
        <v>42170</v>
      </c>
      <c r="E15" s="107">
        <v>36803</v>
      </c>
      <c r="F15" s="108"/>
      <c r="G15" s="63">
        <v>68950</v>
      </c>
      <c r="H15" s="107">
        <v>81257</v>
      </c>
      <c r="I15" s="108"/>
      <c r="J15" s="64">
        <v>1000</v>
      </c>
      <c r="K15" s="107">
        <v>4678</v>
      </c>
      <c r="L15" s="108"/>
      <c r="M15" s="63">
        <f>214931-5012</f>
        <v>209919</v>
      </c>
      <c r="N15" s="107">
        <f>386800-120696</f>
        <v>266104</v>
      </c>
      <c r="O15" s="108"/>
      <c r="P15" s="63">
        <f t="shared" si="0"/>
        <v>322039</v>
      </c>
      <c r="Q15" s="107">
        <f>SUM(E15+H15+K15+N15)</f>
        <v>388842</v>
      </c>
      <c r="R15" s="108"/>
      <c r="S15" s="66"/>
      <c r="T15" s="80"/>
    </row>
    <row r="16" spans="1:20" ht="15" customHeight="1" thickBot="1">
      <c r="A16" s="24" t="s">
        <v>22</v>
      </c>
      <c r="B16" s="41" t="s">
        <v>18</v>
      </c>
      <c r="C16" s="44" t="s">
        <v>19</v>
      </c>
      <c r="D16" s="66">
        <v>34170</v>
      </c>
      <c r="E16" s="61">
        <f>E15/D15*100</f>
        <v>87.27294285036756</v>
      </c>
      <c r="F16" s="62">
        <f>E15/D16*100</f>
        <v>107.70558969856599</v>
      </c>
      <c r="G16" s="66">
        <v>70800</v>
      </c>
      <c r="H16" s="61">
        <f>H15/G15*100</f>
        <v>117.84916606236405</v>
      </c>
      <c r="I16" s="62">
        <f>H15/G16*100</f>
        <v>114.76977401129945</v>
      </c>
      <c r="J16" s="67">
        <v>1000</v>
      </c>
      <c r="K16" s="61">
        <f>K15/J15*100</f>
        <v>467.8</v>
      </c>
      <c r="L16" s="62">
        <f>K15/J16*100</f>
        <v>467.8</v>
      </c>
      <c r="M16" s="66">
        <f>274571-6087</f>
        <v>268484</v>
      </c>
      <c r="N16" s="61">
        <f>N15/M15*100</f>
        <v>126.7650855806287</v>
      </c>
      <c r="O16" s="62">
        <f>N15/M16*100</f>
        <v>99.11354121660881</v>
      </c>
      <c r="P16" s="66">
        <f t="shared" si="0"/>
        <v>374454</v>
      </c>
      <c r="Q16" s="61">
        <f>Q15/P15*100</f>
        <v>120.74376084884129</v>
      </c>
      <c r="R16" s="62">
        <f>Q15/P16*100</f>
        <v>103.8423945264305</v>
      </c>
      <c r="S16" s="66">
        <v>187896</v>
      </c>
      <c r="T16" s="68">
        <v>14187</v>
      </c>
    </row>
    <row r="17" spans="1:20" ht="15" customHeight="1" thickBot="1">
      <c r="A17" s="6"/>
      <c r="B17" s="39" t="s">
        <v>15</v>
      </c>
      <c r="C17" s="43" t="s">
        <v>16</v>
      </c>
      <c r="D17" s="63">
        <v>1457</v>
      </c>
      <c r="E17" s="107">
        <v>1739</v>
      </c>
      <c r="F17" s="108"/>
      <c r="G17" s="63">
        <v>1857</v>
      </c>
      <c r="H17" s="107">
        <v>2272</v>
      </c>
      <c r="I17" s="108"/>
      <c r="J17" s="64">
        <v>0</v>
      </c>
      <c r="K17" s="107">
        <v>0</v>
      </c>
      <c r="L17" s="108"/>
      <c r="M17" s="63">
        <f>8646-265</f>
        <v>8381</v>
      </c>
      <c r="N17" s="107">
        <f>24489-13959</f>
        <v>10530</v>
      </c>
      <c r="O17" s="108"/>
      <c r="P17" s="63">
        <f t="shared" si="0"/>
        <v>11695</v>
      </c>
      <c r="Q17" s="107">
        <f>SUM(E17+H17+K17+N17)</f>
        <v>14541</v>
      </c>
      <c r="R17" s="108"/>
      <c r="S17" s="66"/>
      <c r="T17" s="80"/>
    </row>
    <row r="18" spans="1:20" ht="15" customHeight="1" thickBot="1">
      <c r="A18" s="24" t="s">
        <v>23</v>
      </c>
      <c r="B18" s="41" t="s">
        <v>18</v>
      </c>
      <c r="C18" s="44" t="s">
        <v>19</v>
      </c>
      <c r="D18" s="66">
        <v>1717</v>
      </c>
      <c r="E18" s="61">
        <f>E17/D17*100</f>
        <v>119.35483870967742</v>
      </c>
      <c r="F18" s="62">
        <f>E17/D18*100</f>
        <v>101.28130460104833</v>
      </c>
      <c r="G18" s="66">
        <v>2213</v>
      </c>
      <c r="H18" s="61">
        <f>H17/G17*100</f>
        <v>122.34787291330103</v>
      </c>
      <c r="I18" s="62">
        <f>H17/G18*100</f>
        <v>102.6660641662901</v>
      </c>
      <c r="J18" s="67">
        <v>0</v>
      </c>
      <c r="K18" s="61" t="s">
        <v>24</v>
      </c>
      <c r="L18" s="62" t="s">
        <v>27</v>
      </c>
      <c r="M18" s="66">
        <f>10828-265</f>
        <v>10563</v>
      </c>
      <c r="N18" s="61">
        <f>N17/M17*100</f>
        <v>125.64133158334327</v>
      </c>
      <c r="O18" s="62">
        <f>N17/M18*100</f>
        <v>99.68758875319512</v>
      </c>
      <c r="P18" s="66">
        <f t="shared" si="0"/>
        <v>14493</v>
      </c>
      <c r="Q18" s="61">
        <f>Q17/P17*100</f>
        <v>124.33518597691322</v>
      </c>
      <c r="R18" s="62">
        <f>Q17/P18*100</f>
        <v>100.33119436969571</v>
      </c>
      <c r="S18" s="66">
        <v>6885</v>
      </c>
      <c r="T18" s="68">
        <v>2355</v>
      </c>
    </row>
    <row r="19" spans="1:20" ht="15" customHeight="1" thickBot="1">
      <c r="A19" s="6"/>
      <c r="B19" s="39" t="s">
        <v>15</v>
      </c>
      <c r="C19" s="43" t="s">
        <v>16</v>
      </c>
      <c r="D19" s="63">
        <v>20030</v>
      </c>
      <c r="E19" s="107">
        <v>20117</v>
      </c>
      <c r="F19" s="108"/>
      <c r="G19" s="63">
        <v>45449</v>
      </c>
      <c r="H19" s="107">
        <v>46365</v>
      </c>
      <c r="I19" s="108"/>
      <c r="J19" s="64">
        <v>360</v>
      </c>
      <c r="K19" s="107">
        <v>142</v>
      </c>
      <c r="L19" s="108"/>
      <c r="M19" s="63">
        <f>29025-922</f>
        <v>28103</v>
      </c>
      <c r="N19" s="107">
        <f>230364-177806</f>
        <v>52558</v>
      </c>
      <c r="O19" s="108"/>
      <c r="P19" s="63">
        <f t="shared" si="0"/>
        <v>93942</v>
      </c>
      <c r="Q19" s="107">
        <f>SUM(E19+H19+K19+N19)</f>
        <v>119182</v>
      </c>
      <c r="R19" s="108"/>
      <c r="S19" s="66"/>
      <c r="T19" s="80"/>
    </row>
    <row r="20" spans="1:20" ht="15" customHeight="1" thickBot="1">
      <c r="A20" s="24" t="s">
        <v>25</v>
      </c>
      <c r="B20" s="41" t="s">
        <v>18</v>
      </c>
      <c r="C20" s="44" t="s">
        <v>19</v>
      </c>
      <c r="D20" s="66">
        <v>20030</v>
      </c>
      <c r="E20" s="61">
        <f>E19/D19*100</f>
        <v>100.43434847728408</v>
      </c>
      <c r="F20" s="62">
        <f>E19/D20*100</f>
        <v>100.43434847728408</v>
      </c>
      <c r="G20" s="66">
        <v>46120</v>
      </c>
      <c r="H20" s="61">
        <f>H19/G19*100</f>
        <v>102.0154458843979</v>
      </c>
      <c r="I20" s="62">
        <f>H19/G20*100</f>
        <v>100.53122289679098</v>
      </c>
      <c r="J20" s="67">
        <v>360</v>
      </c>
      <c r="K20" s="61">
        <f>K19/J19*100</f>
        <v>39.44444444444444</v>
      </c>
      <c r="L20" s="62">
        <f>K19/J20*100</f>
        <v>39.44444444444444</v>
      </c>
      <c r="M20" s="66">
        <f>54444-982</f>
        <v>53462</v>
      </c>
      <c r="N20" s="61">
        <f>N19/M19*100</f>
        <v>187.01917944703413</v>
      </c>
      <c r="O20" s="62">
        <f>N19/M20*100</f>
        <v>98.30907934607758</v>
      </c>
      <c r="P20" s="66">
        <f t="shared" si="0"/>
        <v>119972</v>
      </c>
      <c r="Q20" s="61">
        <f>Q19/P19*100</f>
        <v>126.86764173639054</v>
      </c>
      <c r="R20" s="62">
        <f>Q19/P20*100</f>
        <v>99.34151301970459</v>
      </c>
      <c r="S20" s="66">
        <v>40760</v>
      </c>
      <c r="T20" s="68">
        <v>3601</v>
      </c>
    </row>
    <row r="21" spans="1:20" ht="15" customHeight="1" thickBot="1">
      <c r="A21" s="6"/>
      <c r="B21" s="39" t="s">
        <v>15</v>
      </c>
      <c r="C21" s="43" t="s">
        <v>16</v>
      </c>
      <c r="D21" s="63">
        <v>3230</v>
      </c>
      <c r="E21" s="107">
        <v>3335</v>
      </c>
      <c r="F21" s="108"/>
      <c r="G21" s="63">
        <v>3071</v>
      </c>
      <c r="H21" s="107">
        <v>3919</v>
      </c>
      <c r="I21" s="108"/>
      <c r="J21" s="64">
        <v>0</v>
      </c>
      <c r="K21" s="107">
        <v>5</v>
      </c>
      <c r="L21" s="108"/>
      <c r="M21" s="63">
        <f>20338-480</f>
        <v>19858</v>
      </c>
      <c r="N21" s="107">
        <f>67554-34470</f>
        <v>33084</v>
      </c>
      <c r="O21" s="108"/>
      <c r="P21" s="63">
        <f t="shared" si="0"/>
        <v>26159</v>
      </c>
      <c r="Q21" s="107">
        <f>SUM(E21+H21+K21+N21)</f>
        <v>40343</v>
      </c>
      <c r="R21" s="108"/>
      <c r="S21" s="66"/>
      <c r="T21" s="80"/>
    </row>
    <row r="22" spans="1:20" ht="15" customHeight="1" thickBot="1">
      <c r="A22" s="24" t="s">
        <v>26</v>
      </c>
      <c r="B22" s="41" t="s">
        <v>18</v>
      </c>
      <c r="C22" s="44" t="s">
        <v>19</v>
      </c>
      <c r="D22" s="66">
        <v>3338</v>
      </c>
      <c r="E22" s="61">
        <f>E21/D21*100</f>
        <v>103.25077399380804</v>
      </c>
      <c r="F22" s="62">
        <f>E21/D22*100</f>
        <v>99.91012582384661</v>
      </c>
      <c r="G22" s="66">
        <v>4042</v>
      </c>
      <c r="H22" s="61">
        <f>H21/G21*100</f>
        <v>127.61315532399871</v>
      </c>
      <c r="I22" s="62">
        <f>H21/G22*100</f>
        <v>96.95695200395843</v>
      </c>
      <c r="J22" s="67">
        <v>9</v>
      </c>
      <c r="K22" s="61" t="s">
        <v>24</v>
      </c>
      <c r="L22" s="62">
        <f>K21/J22*100</f>
        <v>55.55555555555556</v>
      </c>
      <c r="M22" s="66">
        <f>33831-480</f>
        <v>33351</v>
      </c>
      <c r="N22" s="61">
        <f>N21/M21*100</f>
        <v>166.60288045120356</v>
      </c>
      <c r="O22" s="62">
        <f>N21/M22*100</f>
        <v>99.19942430511828</v>
      </c>
      <c r="P22" s="66">
        <f t="shared" si="0"/>
        <v>40740</v>
      </c>
      <c r="Q22" s="61">
        <f>Q21/P21*100</f>
        <v>154.22225620245422</v>
      </c>
      <c r="R22" s="62">
        <f>Q21/P22*100</f>
        <v>99.02552773686794</v>
      </c>
      <c r="S22" s="66">
        <v>24465</v>
      </c>
      <c r="T22" s="68">
        <v>5702</v>
      </c>
    </row>
    <row r="23" spans="1:20" ht="15" customHeight="1" thickBot="1">
      <c r="A23" s="6"/>
      <c r="B23" s="39" t="s">
        <v>15</v>
      </c>
      <c r="C23" s="43" t="s">
        <v>16</v>
      </c>
      <c r="D23" s="63">
        <v>835</v>
      </c>
      <c r="E23" s="107">
        <v>918</v>
      </c>
      <c r="F23" s="108"/>
      <c r="G23" s="63">
        <v>406</v>
      </c>
      <c r="H23" s="107">
        <v>378</v>
      </c>
      <c r="I23" s="108"/>
      <c r="J23" s="64">
        <v>0</v>
      </c>
      <c r="K23" s="107">
        <v>237</v>
      </c>
      <c r="L23" s="108"/>
      <c r="M23" s="63">
        <f>5695-110</f>
        <v>5585</v>
      </c>
      <c r="N23" s="107">
        <f>14148-8019</f>
        <v>6129</v>
      </c>
      <c r="O23" s="108"/>
      <c r="P23" s="63">
        <f t="shared" si="0"/>
        <v>6826</v>
      </c>
      <c r="Q23" s="107">
        <f>SUM(E23+H23+K23+N23)</f>
        <v>7662</v>
      </c>
      <c r="R23" s="108"/>
      <c r="S23" s="66"/>
      <c r="T23" s="80"/>
    </row>
    <row r="24" spans="1:20" ht="15" customHeight="1" thickBot="1">
      <c r="A24" s="24" t="s">
        <v>47</v>
      </c>
      <c r="B24" s="41" t="s">
        <v>18</v>
      </c>
      <c r="C24" s="44" t="s">
        <v>19</v>
      </c>
      <c r="D24" s="66">
        <v>835</v>
      </c>
      <c r="E24" s="61">
        <f>E23/D23*100</f>
        <v>109.94011976047904</v>
      </c>
      <c r="F24" s="62">
        <f>E23/D24*100</f>
        <v>109.94011976047904</v>
      </c>
      <c r="G24" s="66">
        <v>406</v>
      </c>
      <c r="H24" s="61">
        <f>H23/G23*100</f>
        <v>93.10344827586206</v>
      </c>
      <c r="I24" s="62">
        <f>H23/G24*100</f>
        <v>93.10344827586206</v>
      </c>
      <c r="J24" s="67">
        <v>0</v>
      </c>
      <c r="K24" s="61" t="s">
        <v>24</v>
      </c>
      <c r="L24" s="62" t="s">
        <v>27</v>
      </c>
      <c r="M24" s="66">
        <f>6259-110</f>
        <v>6149</v>
      </c>
      <c r="N24" s="61">
        <f>N23/M23*100</f>
        <v>109.74037600716204</v>
      </c>
      <c r="O24" s="62">
        <f>N23/M24*100</f>
        <v>99.67474386079037</v>
      </c>
      <c r="P24" s="66">
        <f t="shared" si="0"/>
        <v>7390</v>
      </c>
      <c r="Q24" s="61">
        <f>Q23/P23*100</f>
        <v>112.24728977439202</v>
      </c>
      <c r="R24" s="62">
        <f>Q23/P24*100</f>
        <v>103.680649526387</v>
      </c>
      <c r="S24" s="66">
        <v>4839</v>
      </c>
      <c r="T24" s="68">
        <v>612</v>
      </c>
    </row>
    <row r="25" spans="1:20" ht="15" customHeight="1" thickBot="1">
      <c r="A25" s="6"/>
      <c r="B25" s="39" t="s">
        <v>15</v>
      </c>
      <c r="C25" s="43" t="s">
        <v>16</v>
      </c>
      <c r="D25" s="63">
        <v>24435</v>
      </c>
      <c r="E25" s="107">
        <v>20514</v>
      </c>
      <c r="F25" s="108"/>
      <c r="G25" s="63">
        <v>120102</v>
      </c>
      <c r="H25" s="107">
        <v>122770</v>
      </c>
      <c r="I25" s="108"/>
      <c r="J25" s="64">
        <v>3870</v>
      </c>
      <c r="K25" s="107">
        <v>4456</v>
      </c>
      <c r="L25" s="108"/>
      <c r="M25" s="63">
        <f>41501-1263</f>
        <v>40238</v>
      </c>
      <c r="N25" s="107">
        <f>384583-319350</f>
        <v>65233</v>
      </c>
      <c r="O25" s="108"/>
      <c r="P25" s="63">
        <f t="shared" si="0"/>
        <v>188645</v>
      </c>
      <c r="Q25" s="107">
        <f>SUM(E25+H25+K25+N25)</f>
        <v>212973</v>
      </c>
      <c r="R25" s="108"/>
      <c r="S25" s="66"/>
      <c r="T25" s="65"/>
    </row>
    <row r="26" spans="1:20" ht="15" customHeight="1" thickBot="1">
      <c r="A26" s="24" t="s">
        <v>28</v>
      </c>
      <c r="B26" s="41" t="s">
        <v>18</v>
      </c>
      <c r="C26" s="44" t="s">
        <v>19</v>
      </c>
      <c r="D26" s="66">
        <v>20510</v>
      </c>
      <c r="E26" s="61">
        <f>E25/D25*100</f>
        <v>83.95334561080418</v>
      </c>
      <c r="F26" s="62">
        <f>E25/D26*100</f>
        <v>100.01950268161872</v>
      </c>
      <c r="G26" s="66">
        <v>120152</v>
      </c>
      <c r="H26" s="61">
        <f>H25/G25*100</f>
        <v>102.22144510499409</v>
      </c>
      <c r="I26" s="62">
        <f>H25/G26*100</f>
        <v>102.178906718157</v>
      </c>
      <c r="J26" s="67">
        <v>3870</v>
      </c>
      <c r="K26" s="61">
        <f>K25/J25*100</f>
        <v>115.1421188630491</v>
      </c>
      <c r="L26" s="62">
        <f>K25/J26*100</f>
        <v>115.1421188630491</v>
      </c>
      <c r="M26" s="66">
        <f>67434-1362</f>
        <v>66072</v>
      </c>
      <c r="N26" s="61">
        <f>N25/M25*100</f>
        <v>162.11789850390178</v>
      </c>
      <c r="O26" s="62">
        <f>N25/M26*100</f>
        <v>98.73017314444849</v>
      </c>
      <c r="P26" s="59">
        <f t="shared" si="0"/>
        <v>210604</v>
      </c>
      <c r="Q26" s="61">
        <f>Q25/P25*100</f>
        <v>112.89618065678921</v>
      </c>
      <c r="R26" s="62">
        <f>Q25/P26*100</f>
        <v>101.12485992668705</v>
      </c>
      <c r="S26" s="66">
        <v>40771</v>
      </c>
      <c r="T26" s="68">
        <v>8027</v>
      </c>
    </row>
    <row r="27" spans="1:20" ht="15" customHeight="1" thickBot="1">
      <c r="A27" s="6"/>
      <c r="B27" s="39" t="s">
        <v>15</v>
      </c>
      <c r="C27" s="43" t="s">
        <v>16</v>
      </c>
      <c r="D27" s="63">
        <v>1998</v>
      </c>
      <c r="E27" s="107">
        <v>2160</v>
      </c>
      <c r="F27" s="108"/>
      <c r="G27" s="63">
        <v>4034</v>
      </c>
      <c r="H27" s="107">
        <v>4654</v>
      </c>
      <c r="I27" s="108"/>
      <c r="J27" s="64">
        <v>10</v>
      </c>
      <c r="K27" s="107">
        <v>7</v>
      </c>
      <c r="L27" s="108"/>
      <c r="M27" s="63">
        <f>12214-155</f>
        <v>12059</v>
      </c>
      <c r="N27" s="107">
        <f>31024-1804</f>
        <v>29220</v>
      </c>
      <c r="O27" s="108"/>
      <c r="P27" s="63">
        <f t="shared" si="0"/>
        <v>18101</v>
      </c>
      <c r="Q27" s="107">
        <f>SUM(E27+H27+K27+N27)</f>
        <v>36041</v>
      </c>
      <c r="R27" s="108"/>
      <c r="S27" s="66"/>
      <c r="T27" s="80"/>
    </row>
    <row r="28" spans="1:20" ht="15" customHeight="1" thickBot="1">
      <c r="A28" s="24" t="s">
        <v>29</v>
      </c>
      <c r="B28" s="41" t="s">
        <v>18</v>
      </c>
      <c r="C28" s="44" t="s">
        <v>19</v>
      </c>
      <c r="D28" s="66">
        <v>1998</v>
      </c>
      <c r="E28" s="61">
        <f>E27/D27*100</f>
        <v>108.10810810810811</v>
      </c>
      <c r="F28" s="62">
        <f>E27/D28*100</f>
        <v>108.10810810810811</v>
      </c>
      <c r="G28" s="66">
        <v>4276</v>
      </c>
      <c r="H28" s="61">
        <f>H27/G27*100</f>
        <v>115.36936043629152</v>
      </c>
      <c r="I28" s="62">
        <f>H27/G28*100</f>
        <v>108.8400374181478</v>
      </c>
      <c r="J28" s="67">
        <v>10</v>
      </c>
      <c r="K28" s="61">
        <f>K27/J27*100</f>
        <v>70</v>
      </c>
      <c r="L28" s="62">
        <f>K27/J28*100</f>
        <v>70</v>
      </c>
      <c r="M28" s="66">
        <f>29525-155</f>
        <v>29370</v>
      </c>
      <c r="N28" s="61">
        <f>N27/M27*100</f>
        <v>242.30864914171985</v>
      </c>
      <c r="O28" s="62">
        <f>N27/M28*100</f>
        <v>99.48927477017364</v>
      </c>
      <c r="P28" s="66">
        <f t="shared" si="0"/>
        <v>35654</v>
      </c>
      <c r="Q28" s="61">
        <f>Q27/P27*100</f>
        <v>199.1105463786531</v>
      </c>
      <c r="R28" s="62">
        <f>Q27/P28*100</f>
        <v>101.08543220956976</v>
      </c>
      <c r="S28" s="66">
        <v>13409</v>
      </c>
      <c r="T28" s="68">
        <v>14358</v>
      </c>
    </row>
    <row r="29" spans="1:20" ht="15" customHeight="1" thickBot="1">
      <c r="A29" s="6"/>
      <c r="B29" s="39" t="s">
        <v>15</v>
      </c>
      <c r="C29" s="43" t="s">
        <v>16</v>
      </c>
      <c r="D29" s="63">
        <v>697</v>
      </c>
      <c r="E29" s="107">
        <v>764</v>
      </c>
      <c r="F29" s="108"/>
      <c r="G29" s="63">
        <v>1353</v>
      </c>
      <c r="H29" s="107">
        <v>1568</v>
      </c>
      <c r="I29" s="108"/>
      <c r="J29" s="64">
        <v>0</v>
      </c>
      <c r="K29" s="107">
        <v>26</v>
      </c>
      <c r="L29" s="108"/>
      <c r="M29" s="63">
        <f>7592-340</f>
        <v>7252</v>
      </c>
      <c r="N29" s="107">
        <f>17746-9967</f>
        <v>7779</v>
      </c>
      <c r="O29" s="108"/>
      <c r="P29" s="63">
        <f t="shared" si="0"/>
        <v>9302</v>
      </c>
      <c r="Q29" s="107">
        <f>SUM(E29+H29+K29+N29)</f>
        <v>10137</v>
      </c>
      <c r="R29" s="108"/>
      <c r="S29" s="66"/>
      <c r="T29" s="65"/>
    </row>
    <row r="30" spans="1:20" ht="15" customHeight="1" thickBot="1">
      <c r="A30" s="24" t="s">
        <v>30</v>
      </c>
      <c r="B30" s="41" t="s">
        <v>18</v>
      </c>
      <c r="C30" s="44" t="s">
        <v>19</v>
      </c>
      <c r="D30" s="66">
        <v>748</v>
      </c>
      <c r="E30" s="61">
        <f>E29/D29*100</f>
        <v>109.6126255380201</v>
      </c>
      <c r="F30" s="62">
        <f>E29/D30*100</f>
        <v>102.1390374331551</v>
      </c>
      <c r="G30" s="66">
        <v>1655</v>
      </c>
      <c r="H30" s="61">
        <f>H29/G29*100</f>
        <v>115.89061345158906</v>
      </c>
      <c r="I30" s="62">
        <f>H29/G30*100</f>
        <v>94.74320241691842</v>
      </c>
      <c r="J30" s="67">
        <v>0</v>
      </c>
      <c r="K30" s="61" t="s">
        <v>24</v>
      </c>
      <c r="L30" s="62" t="s">
        <v>27</v>
      </c>
      <c r="M30" s="60">
        <f>8180-340</f>
        <v>7840</v>
      </c>
      <c r="N30" s="61">
        <f>N29/M29*100</f>
        <v>107.26696083838941</v>
      </c>
      <c r="O30" s="62">
        <f>N29/M30*100</f>
        <v>99.2219387755102</v>
      </c>
      <c r="P30" s="66">
        <f t="shared" si="0"/>
        <v>10243</v>
      </c>
      <c r="Q30" s="61">
        <f>Q29/P29*100</f>
        <v>108.97656417974628</v>
      </c>
      <c r="R30" s="62">
        <f>Q29/P30*100</f>
        <v>98.96514692961047</v>
      </c>
      <c r="S30" s="66">
        <v>6105</v>
      </c>
      <c r="T30" s="68">
        <v>1000</v>
      </c>
    </row>
    <row r="31" spans="1:20" ht="15" customHeight="1" thickBot="1">
      <c r="A31" s="19"/>
      <c r="B31" s="45" t="s">
        <v>15</v>
      </c>
      <c r="C31" s="46" t="s">
        <v>16</v>
      </c>
      <c r="D31" s="59">
        <v>1195</v>
      </c>
      <c r="E31" s="107">
        <v>1080</v>
      </c>
      <c r="F31" s="108"/>
      <c r="G31" s="63">
        <v>2519</v>
      </c>
      <c r="H31" s="107">
        <v>2836</v>
      </c>
      <c r="I31" s="108"/>
      <c r="J31" s="63">
        <v>0</v>
      </c>
      <c r="K31" s="107">
        <v>247</v>
      </c>
      <c r="L31" s="108"/>
      <c r="M31" s="87">
        <f>10593-180</f>
        <v>10413</v>
      </c>
      <c r="N31" s="107">
        <f>36499-25798</f>
        <v>10701</v>
      </c>
      <c r="O31" s="108"/>
      <c r="P31" s="64">
        <f t="shared" si="0"/>
        <v>14127</v>
      </c>
      <c r="Q31" s="107">
        <f>SUM(E31+H31+K31+N31)</f>
        <v>14864</v>
      </c>
      <c r="R31" s="108"/>
      <c r="S31" s="66"/>
      <c r="T31" s="82"/>
    </row>
    <row r="32" spans="1:20" ht="15" customHeight="1" thickBot="1">
      <c r="A32" s="24" t="s">
        <v>31</v>
      </c>
      <c r="B32" s="41" t="s">
        <v>18</v>
      </c>
      <c r="C32" s="44" t="s">
        <v>19</v>
      </c>
      <c r="D32" s="66">
        <v>1195</v>
      </c>
      <c r="E32" s="71">
        <f>E31/D31*100</f>
        <v>90.3765690376569</v>
      </c>
      <c r="F32" s="73">
        <f>E31/D32*100</f>
        <v>90.3765690376569</v>
      </c>
      <c r="G32" s="66">
        <v>2897</v>
      </c>
      <c r="H32" s="74">
        <f>H31/G31*100</f>
        <v>112.58435887256849</v>
      </c>
      <c r="I32" s="75">
        <f>H31/G32*100</f>
        <v>97.89437348981706</v>
      </c>
      <c r="J32" s="66">
        <v>0</v>
      </c>
      <c r="K32" s="103" t="s">
        <v>24</v>
      </c>
      <c r="L32" s="75" t="s">
        <v>27</v>
      </c>
      <c r="M32" s="88">
        <f>10881-180</f>
        <v>10701</v>
      </c>
      <c r="N32" s="74">
        <f>N31/M31*100</f>
        <v>102.7657735522904</v>
      </c>
      <c r="O32" s="75">
        <f>N31/M32*100</f>
        <v>100</v>
      </c>
      <c r="P32" s="67">
        <f t="shared" si="0"/>
        <v>14793</v>
      </c>
      <c r="Q32" s="74">
        <f>Q31/P31*100</f>
        <v>105.21696043038153</v>
      </c>
      <c r="R32" s="75">
        <f>Q31/P32*100</f>
        <v>100.4799567362942</v>
      </c>
      <c r="S32" s="66">
        <v>8691</v>
      </c>
      <c r="T32" s="68">
        <v>964</v>
      </c>
    </row>
    <row r="33" spans="1:20" ht="12.75">
      <c r="A33" s="27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2.75">
      <c r="A34" s="29" t="s">
        <v>32</v>
      </c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 t="s">
        <v>1</v>
      </c>
      <c r="O34" s="28"/>
      <c r="P34" s="28"/>
      <c r="Q34" s="28"/>
      <c r="R34" s="28"/>
      <c r="S34" s="28"/>
      <c r="T34" s="28"/>
    </row>
    <row r="35" spans="1:20" ht="12.75">
      <c r="A35" s="29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29"/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2.75">
      <c r="A37" s="29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2.75">
      <c r="A38" s="29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12.75">
      <c r="A39" s="29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2.75">
      <c r="A40" s="29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2.75">
      <c r="A41" s="29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2.75">
      <c r="A42" s="29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2.75">
      <c r="A43" s="27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2.75">
      <c r="A44" s="27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 t="s">
        <v>48</v>
      </c>
      <c r="T44" s="2" t="s">
        <v>0</v>
      </c>
    </row>
    <row r="45" spans="1:20" ht="12.75">
      <c r="A45" s="27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27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3.5" thickBot="1">
      <c r="A47" s="27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0" t="s">
        <v>2</v>
      </c>
    </row>
    <row r="48" spans="1:20" ht="15" customHeight="1">
      <c r="A48" s="6"/>
      <c r="B48" s="7"/>
      <c r="C48" s="8"/>
      <c r="D48" s="111" t="s">
        <v>3</v>
      </c>
      <c r="E48" s="124"/>
      <c r="F48" s="124"/>
      <c r="G48" s="124"/>
      <c r="H48" s="124"/>
      <c r="I48" s="124"/>
      <c r="J48" s="124"/>
      <c r="K48" s="124"/>
      <c r="L48" s="112"/>
      <c r="M48" s="125" t="s">
        <v>4</v>
      </c>
      <c r="N48" s="126"/>
      <c r="O48" s="127"/>
      <c r="P48" s="125" t="s">
        <v>5</v>
      </c>
      <c r="Q48" s="126"/>
      <c r="R48" s="126"/>
      <c r="S48" s="111" t="s">
        <v>6</v>
      </c>
      <c r="T48" s="112"/>
    </row>
    <row r="49" spans="1:20" ht="15" customHeight="1">
      <c r="A49" s="9" t="s">
        <v>7</v>
      </c>
      <c r="B49" s="115" t="s">
        <v>8</v>
      </c>
      <c r="C49" s="116"/>
      <c r="D49" s="117" t="s">
        <v>9</v>
      </c>
      <c r="E49" s="118"/>
      <c r="F49" s="118"/>
      <c r="G49" s="119" t="s">
        <v>10</v>
      </c>
      <c r="H49" s="118"/>
      <c r="I49" s="118"/>
      <c r="J49" s="119" t="s">
        <v>11</v>
      </c>
      <c r="K49" s="118"/>
      <c r="L49" s="120"/>
      <c r="M49" s="10"/>
      <c r="N49" s="12"/>
      <c r="O49" s="11"/>
      <c r="P49" s="115" t="s">
        <v>12</v>
      </c>
      <c r="Q49" s="121"/>
      <c r="R49" s="121"/>
      <c r="S49" s="122" t="s">
        <v>13</v>
      </c>
      <c r="T49" s="113" t="s">
        <v>14</v>
      </c>
    </row>
    <row r="50" spans="1:20" ht="15" customHeight="1" thickBot="1">
      <c r="A50" s="13"/>
      <c r="B50" s="14"/>
      <c r="C50" s="15"/>
      <c r="D50" s="14"/>
      <c r="E50" s="16"/>
      <c r="F50" s="16"/>
      <c r="G50" s="17"/>
      <c r="H50" s="16"/>
      <c r="I50" s="18"/>
      <c r="J50" s="17"/>
      <c r="K50" s="16"/>
      <c r="L50" s="15"/>
      <c r="M50" s="14"/>
      <c r="N50" s="16"/>
      <c r="O50" s="15"/>
      <c r="P50" s="14"/>
      <c r="Q50" s="16"/>
      <c r="R50" s="16"/>
      <c r="S50" s="123"/>
      <c r="T50" s="114"/>
    </row>
    <row r="51" spans="1:20" ht="15" customHeight="1" thickTop="1">
      <c r="A51" s="19"/>
      <c r="B51" s="49" t="s">
        <v>15</v>
      </c>
      <c r="C51" s="50" t="s">
        <v>16</v>
      </c>
      <c r="D51" s="59">
        <v>769</v>
      </c>
      <c r="E51" s="109">
        <v>1052</v>
      </c>
      <c r="F51" s="110"/>
      <c r="G51" s="59">
        <v>2006</v>
      </c>
      <c r="H51" s="109">
        <v>2383</v>
      </c>
      <c r="I51" s="110"/>
      <c r="J51" s="76">
        <v>0</v>
      </c>
      <c r="K51" s="109">
        <v>240</v>
      </c>
      <c r="L51" s="110"/>
      <c r="M51" s="77">
        <f>7321-269</f>
        <v>7052</v>
      </c>
      <c r="N51" s="109">
        <f>21256-11764</f>
        <v>9492</v>
      </c>
      <c r="O51" s="110"/>
      <c r="P51" s="59">
        <f aca="true" t="shared" si="1" ref="P51:P72">SUM(D51+G51+J51+M51)</f>
        <v>9827</v>
      </c>
      <c r="Q51" s="109">
        <f>SUM(E51+H51+K51+N51)</f>
        <v>13167</v>
      </c>
      <c r="R51" s="110"/>
      <c r="S51" s="59"/>
      <c r="T51" s="72"/>
    </row>
    <row r="52" spans="1:20" ht="15" customHeight="1" thickBot="1">
      <c r="A52" s="19" t="s">
        <v>33</v>
      </c>
      <c r="B52" s="51" t="s">
        <v>18</v>
      </c>
      <c r="C52" s="52" t="s">
        <v>19</v>
      </c>
      <c r="D52" s="60">
        <v>1068</v>
      </c>
      <c r="E52" s="71">
        <f>E51/D51*100</f>
        <v>136.80104031209365</v>
      </c>
      <c r="F52" s="73">
        <f>E51/D52*100</f>
        <v>98.50187265917603</v>
      </c>
      <c r="G52" s="60">
        <v>2451</v>
      </c>
      <c r="H52" s="71">
        <f>H51/G51*100</f>
        <v>118.7936191425723</v>
      </c>
      <c r="I52" s="73">
        <f>H51/G52*100</f>
        <v>97.22562219502244</v>
      </c>
      <c r="J52" s="78">
        <v>240</v>
      </c>
      <c r="K52" s="71" t="s">
        <v>24</v>
      </c>
      <c r="L52" s="73">
        <f>K51/J52*100</f>
        <v>100</v>
      </c>
      <c r="M52" s="60">
        <f>9930-269</f>
        <v>9661</v>
      </c>
      <c r="N52" s="71">
        <f>N51/M51*100</f>
        <v>134.60011344299488</v>
      </c>
      <c r="O52" s="73">
        <f>N51/M52*100</f>
        <v>98.25069868543629</v>
      </c>
      <c r="P52" s="66">
        <f t="shared" si="1"/>
        <v>13420</v>
      </c>
      <c r="Q52" s="71">
        <f>Q51/P51*100</f>
        <v>133.98799226620534</v>
      </c>
      <c r="R52" s="73">
        <f>Q51/P52*100</f>
        <v>98.11475409836066</v>
      </c>
      <c r="S52" s="59">
        <v>4203</v>
      </c>
      <c r="T52" s="105">
        <v>3170</v>
      </c>
    </row>
    <row r="53" spans="1:20" ht="15" customHeight="1">
      <c r="A53" s="6"/>
      <c r="B53" s="39" t="s">
        <v>15</v>
      </c>
      <c r="C53" s="43" t="s">
        <v>16</v>
      </c>
      <c r="D53" s="63">
        <v>687</v>
      </c>
      <c r="E53" s="107">
        <v>773</v>
      </c>
      <c r="F53" s="108"/>
      <c r="G53" s="63">
        <v>1522</v>
      </c>
      <c r="H53" s="107">
        <v>1565</v>
      </c>
      <c r="I53" s="108"/>
      <c r="J53" s="64">
        <v>0</v>
      </c>
      <c r="K53" s="107">
        <v>23</v>
      </c>
      <c r="L53" s="108"/>
      <c r="M53" s="63">
        <f>6784-95</f>
        <v>6689</v>
      </c>
      <c r="N53" s="107">
        <f>14910-8062</f>
        <v>6848</v>
      </c>
      <c r="O53" s="108"/>
      <c r="P53" s="63">
        <f t="shared" si="1"/>
        <v>8898</v>
      </c>
      <c r="Q53" s="107">
        <f>SUM(E53+H53+K53+N53)</f>
        <v>9209</v>
      </c>
      <c r="R53" s="108"/>
      <c r="S53" s="59"/>
      <c r="T53" s="80"/>
    </row>
    <row r="54" spans="1:20" ht="15" customHeight="1" thickBot="1">
      <c r="A54" s="24" t="s">
        <v>34</v>
      </c>
      <c r="B54" s="41" t="s">
        <v>18</v>
      </c>
      <c r="C54" s="44" t="s">
        <v>19</v>
      </c>
      <c r="D54" s="66">
        <v>703</v>
      </c>
      <c r="E54" s="71">
        <f>E53/D53*100</f>
        <v>112.51819505094613</v>
      </c>
      <c r="F54" s="73">
        <f>E53/D54*100</f>
        <v>109.95732574679944</v>
      </c>
      <c r="G54" s="66">
        <v>1605</v>
      </c>
      <c r="H54" s="71">
        <f>H53/G53*100</f>
        <v>102.82522996057818</v>
      </c>
      <c r="I54" s="73">
        <f>H53/G54*100</f>
        <v>97.50778816199377</v>
      </c>
      <c r="J54" s="67">
        <v>23</v>
      </c>
      <c r="K54" s="71" t="s">
        <v>24</v>
      </c>
      <c r="L54" s="73">
        <f>K53/J54*100</f>
        <v>100</v>
      </c>
      <c r="M54" s="66">
        <f>7305-95</f>
        <v>7210</v>
      </c>
      <c r="N54" s="71">
        <f>N53/M53*100</f>
        <v>102.37703692629691</v>
      </c>
      <c r="O54" s="73">
        <f>N53/M54*100</f>
        <v>94.97919556171983</v>
      </c>
      <c r="P54" s="66">
        <f t="shared" si="1"/>
        <v>9541</v>
      </c>
      <c r="Q54" s="71">
        <f>Q53/P53*100</f>
        <v>103.49516745336031</v>
      </c>
      <c r="R54" s="73">
        <f>Q53/P54*100</f>
        <v>96.52028089298815</v>
      </c>
      <c r="S54" s="59">
        <v>5264</v>
      </c>
      <c r="T54" s="68">
        <v>988</v>
      </c>
    </row>
    <row r="55" spans="1:20" ht="15" customHeight="1">
      <c r="A55" s="6"/>
      <c r="B55" s="39" t="s">
        <v>15</v>
      </c>
      <c r="C55" s="43" t="s">
        <v>16</v>
      </c>
      <c r="D55" s="63">
        <v>1675</v>
      </c>
      <c r="E55" s="107">
        <v>1832</v>
      </c>
      <c r="F55" s="108"/>
      <c r="G55" s="63">
        <v>5454</v>
      </c>
      <c r="H55" s="107">
        <v>6619</v>
      </c>
      <c r="I55" s="108"/>
      <c r="J55" s="64">
        <v>200</v>
      </c>
      <c r="K55" s="107">
        <v>648</v>
      </c>
      <c r="L55" s="108"/>
      <c r="M55" s="63">
        <f>13564-220</f>
        <v>13344</v>
      </c>
      <c r="N55" s="107">
        <f>41936-25843</f>
        <v>16093</v>
      </c>
      <c r="O55" s="108"/>
      <c r="P55" s="63">
        <f t="shared" si="1"/>
        <v>20673</v>
      </c>
      <c r="Q55" s="107">
        <f>SUM(E55+H55+K55+N55)</f>
        <v>25192</v>
      </c>
      <c r="R55" s="108"/>
      <c r="S55" s="59"/>
      <c r="T55" s="80"/>
    </row>
    <row r="56" spans="1:20" ht="15" customHeight="1" thickBot="1">
      <c r="A56" s="24" t="s">
        <v>35</v>
      </c>
      <c r="B56" s="41" t="s">
        <v>18</v>
      </c>
      <c r="C56" s="44" t="s">
        <v>19</v>
      </c>
      <c r="D56" s="66">
        <v>1675</v>
      </c>
      <c r="E56" s="71">
        <f>E55/D55*100</f>
        <v>109.3731343283582</v>
      </c>
      <c r="F56" s="73">
        <f>E55/D56*100</f>
        <v>109.3731343283582</v>
      </c>
      <c r="G56" s="66">
        <v>5800</v>
      </c>
      <c r="H56" s="71">
        <f>H55/G55*100</f>
        <v>121.36046938027137</v>
      </c>
      <c r="I56" s="73">
        <f>H55/G56*100</f>
        <v>114.12068965517241</v>
      </c>
      <c r="J56" s="67">
        <v>481</v>
      </c>
      <c r="K56" s="71">
        <f>K55/J55*100</f>
        <v>324</v>
      </c>
      <c r="L56" s="73">
        <f>K55/J56*100</f>
        <v>134.71933471933474</v>
      </c>
      <c r="M56" s="66">
        <f>16719-220</f>
        <v>16499</v>
      </c>
      <c r="N56" s="71">
        <f>N55/M55*100</f>
        <v>120.60101918465227</v>
      </c>
      <c r="O56" s="73">
        <f>N55/M56*100</f>
        <v>97.53924480271532</v>
      </c>
      <c r="P56" s="66">
        <f t="shared" si="1"/>
        <v>24455</v>
      </c>
      <c r="Q56" s="71">
        <f>Q55/P55*100</f>
        <v>121.85943017462391</v>
      </c>
      <c r="R56" s="73">
        <f>Q55/P56*100</f>
        <v>103.01369863013699</v>
      </c>
      <c r="S56" s="59">
        <v>12294</v>
      </c>
      <c r="T56" s="68">
        <v>1301</v>
      </c>
    </row>
    <row r="57" spans="1:20" ht="15" customHeight="1">
      <c r="A57" s="6"/>
      <c r="B57" s="39" t="s">
        <v>15</v>
      </c>
      <c r="C57" s="43" t="s">
        <v>16</v>
      </c>
      <c r="D57" s="63">
        <v>10470</v>
      </c>
      <c r="E57" s="107">
        <v>13072</v>
      </c>
      <c r="F57" s="108"/>
      <c r="G57" s="63">
        <v>11290</v>
      </c>
      <c r="H57" s="107">
        <v>14603</v>
      </c>
      <c r="I57" s="108"/>
      <c r="J57" s="64">
        <v>0</v>
      </c>
      <c r="K57" s="107">
        <v>332</v>
      </c>
      <c r="L57" s="108"/>
      <c r="M57" s="63">
        <f>30595-665</f>
        <v>29930</v>
      </c>
      <c r="N57" s="107">
        <f>114601-71684</f>
        <v>42917</v>
      </c>
      <c r="O57" s="108"/>
      <c r="P57" s="63">
        <f>SUM(D57+G57+J57+M57)</f>
        <v>51690</v>
      </c>
      <c r="Q57" s="107">
        <f>SUM(E57+H57+K57+N57)</f>
        <v>70924</v>
      </c>
      <c r="R57" s="108"/>
      <c r="S57" s="59"/>
      <c r="T57" s="80"/>
    </row>
    <row r="58" spans="1:20" ht="15" customHeight="1" thickBot="1">
      <c r="A58" s="24" t="s">
        <v>36</v>
      </c>
      <c r="B58" s="41" t="s">
        <v>18</v>
      </c>
      <c r="C58" s="44" t="s">
        <v>19</v>
      </c>
      <c r="D58" s="66">
        <v>12454</v>
      </c>
      <c r="E58" s="71">
        <f>E57/D57*100</f>
        <v>124.85195797516715</v>
      </c>
      <c r="F58" s="73">
        <f>E57/D58*100</f>
        <v>104.96226112092499</v>
      </c>
      <c r="G58" s="66">
        <v>13746</v>
      </c>
      <c r="H58" s="71">
        <f>H57/G57*100</f>
        <v>129.34455270150576</v>
      </c>
      <c r="I58" s="73">
        <f>H57/G58*100</f>
        <v>106.23454095736942</v>
      </c>
      <c r="J58" s="67">
        <v>332</v>
      </c>
      <c r="K58" s="71" t="s">
        <v>24</v>
      </c>
      <c r="L58" s="73">
        <f>K57/J58*100</f>
        <v>100</v>
      </c>
      <c r="M58" s="66">
        <f>44302-1098</f>
        <v>43204</v>
      </c>
      <c r="N58" s="71">
        <f>N57/M57*100</f>
        <v>143.39124624122954</v>
      </c>
      <c r="O58" s="73">
        <f>N57/M58*100</f>
        <v>99.33570965651329</v>
      </c>
      <c r="P58" s="66">
        <f t="shared" si="1"/>
        <v>69736</v>
      </c>
      <c r="Q58" s="71">
        <f>Q57/P57*100</f>
        <v>137.21029212613658</v>
      </c>
      <c r="R58" s="73">
        <f>Q57/P58*100</f>
        <v>101.70356774119536</v>
      </c>
      <c r="S58" s="59">
        <v>30360</v>
      </c>
      <c r="T58" s="68">
        <v>5361</v>
      </c>
    </row>
    <row r="59" spans="1:20" ht="15" customHeight="1">
      <c r="A59" s="6"/>
      <c r="B59" s="39" t="s">
        <v>15</v>
      </c>
      <c r="C59" s="43" t="s">
        <v>16</v>
      </c>
      <c r="D59" s="63">
        <v>1637</v>
      </c>
      <c r="E59" s="107">
        <v>1979</v>
      </c>
      <c r="F59" s="108"/>
      <c r="G59" s="63">
        <v>3030</v>
      </c>
      <c r="H59" s="107">
        <v>2440</v>
      </c>
      <c r="I59" s="108"/>
      <c r="J59" s="64">
        <v>0</v>
      </c>
      <c r="K59" s="107">
        <v>52</v>
      </c>
      <c r="L59" s="108"/>
      <c r="M59" s="63">
        <f>10870-173</f>
        <v>10697</v>
      </c>
      <c r="N59" s="107">
        <f>27126-14663</f>
        <v>12463</v>
      </c>
      <c r="O59" s="108"/>
      <c r="P59" s="63">
        <f t="shared" si="1"/>
        <v>15364</v>
      </c>
      <c r="Q59" s="107">
        <f>SUM(E59+H59+K59+N59)</f>
        <v>16934</v>
      </c>
      <c r="R59" s="108"/>
      <c r="S59" s="59"/>
      <c r="T59" s="80"/>
    </row>
    <row r="60" spans="1:20" ht="15" customHeight="1" thickBot="1">
      <c r="A60" s="24" t="s">
        <v>37</v>
      </c>
      <c r="B60" s="41" t="s">
        <v>18</v>
      </c>
      <c r="C60" s="44" t="s">
        <v>19</v>
      </c>
      <c r="D60" s="66">
        <v>1696</v>
      </c>
      <c r="E60" s="71">
        <f>E59/D59*100</f>
        <v>120.89187538179598</v>
      </c>
      <c r="F60" s="73">
        <f>E59/D60*100</f>
        <v>116.68632075471699</v>
      </c>
      <c r="G60" s="66">
        <v>3283</v>
      </c>
      <c r="H60" s="71">
        <f>H59/G59*100</f>
        <v>80.52805280528052</v>
      </c>
      <c r="I60" s="73">
        <f>H59/G60*100</f>
        <v>74.3222662199208</v>
      </c>
      <c r="J60" s="67">
        <v>0</v>
      </c>
      <c r="K60" s="71" t="s">
        <v>24</v>
      </c>
      <c r="L60" s="73" t="s">
        <v>27</v>
      </c>
      <c r="M60" s="66">
        <f>12664-173</f>
        <v>12491</v>
      </c>
      <c r="N60" s="71">
        <f>N59/M59*100</f>
        <v>116.50930167336637</v>
      </c>
      <c r="O60" s="73">
        <f>N59/M60*100</f>
        <v>99.77583860379472</v>
      </c>
      <c r="P60" s="66">
        <f t="shared" si="1"/>
        <v>17470</v>
      </c>
      <c r="Q60" s="71">
        <f>Q59/P59*100</f>
        <v>110.21869304868524</v>
      </c>
      <c r="R60" s="73">
        <f>Q59/P60*100</f>
        <v>96.93188322839153</v>
      </c>
      <c r="S60" s="59">
        <v>8941</v>
      </c>
      <c r="T60" s="68">
        <v>1738</v>
      </c>
    </row>
    <row r="61" spans="1:20" ht="15" customHeight="1">
      <c r="A61" s="6"/>
      <c r="B61" s="39" t="s">
        <v>15</v>
      </c>
      <c r="C61" s="43" t="s">
        <v>16</v>
      </c>
      <c r="D61" s="63">
        <v>3954</v>
      </c>
      <c r="E61" s="107">
        <v>4157</v>
      </c>
      <c r="F61" s="108"/>
      <c r="G61" s="63">
        <v>3124</v>
      </c>
      <c r="H61" s="107">
        <v>3140</v>
      </c>
      <c r="I61" s="108"/>
      <c r="J61" s="64">
        <v>0</v>
      </c>
      <c r="K61" s="107">
        <v>0</v>
      </c>
      <c r="L61" s="108"/>
      <c r="M61" s="63">
        <f>5599-199</f>
        <v>5400</v>
      </c>
      <c r="N61" s="107">
        <f>32897-19805</f>
        <v>13092</v>
      </c>
      <c r="O61" s="108"/>
      <c r="P61" s="63">
        <f t="shared" si="1"/>
        <v>12478</v>
      </c>
      <c r="Q61" s="107">
        <f>SUM(E61+H61+K61+N61)</f>
        <v>20389</v>
      </c>
      <c r="R61" s="108"/>
      <c r="S61" s="59" t="s">
        <v>1</v>
      </c>
      <c r="T61" s="80"/>
    </row>
    <row r="62" spans="1:20" ht="15" customHeight="1" thickBot="1">
      <c r="A62" s="24" t="s">
        <v>38</v>
      </c>
      <c r="B62" s="41" t="s">
        <v>18</v>
      </c>
      <c r="C62" s="44" t="s">
        <v>19</v>
      </c>
      <c r="D62" s="66">
        <v>3954</v>
      </c>
      <c r="E62" s="71">
        <f>E61/D61*100</f>
        <v>105.13404147698533</v>
      </c>
      <c r="F62" s="73">
        <f>E61/D62*100</f>
        <v>105.13404147698533</v>
      </c>
      <c r="G62" s="66">
        <v>3214</v>
      </c>
      <c r="H62" s="71">
        <f>H61/G61*100</f>
        <v>100.51216389244557</v>
      </c>
      <c r="I62" s="73">
        <f>H61/G62*100</f>
        <v>97.69757311761046</v>
      </c>
      <c r="J62" s="67">
        <v>0</v>
      </c>
      <c r="K62" s="71" t="s">
        <v>24</v>
      </c>
      <c r="L62" s="73" t="s">
        <v>27</v>
      </c>
      <c r="M62" s="66">
        <f>13299-199</f>
        <v>13100</v>
      </c>
      <c r="N62" s="71">
        <f>N61/M61*100</f>
        <v>242.44444444444446</v>
      </c>
      <c r="O62" s="73">
        <f>N61/M62*100</f>
        <v>99.93893129770993</v>
      </c>
      <c r="P62" s="89">
        <f t="shared" si="1"/>
        <v>20268</v>
      </c>
      <c r="Q62" s="71">
        <f>Q61/P61*100</f>
        <v>163.39958326654914</v>
      </c>
      <c r="R62" s="73">
        <f>Q61/P62*100</f>
        <v>100.59700019735544</v>
      </c>
      <c r="S62" s="59">
        <v>5012</v>
      </c>
      <c r="T62" s="68">
        <v>7518</v>
      </c>
    </row>
    <row r="63" spans="1:20" ht="15" customHeight="1">
      <c r="A63" s="6"/>
      <c r="B63" s="39" t="s">
        <v>15</v>
      </c>
      <c r="C63" s="43" t="s">
        <v>16</v>
      </c>
      <c r="D63" s="63">
        <v>3375</v>
      </c>
      <c r="E63" s="107">
        <v>3909</v>
      </c>
      <c r="F63" s="108"/>
      <c r="G63" s="63">
        <v>5177</v>
      </c>
      <c r="H63" s="107">
        <v>5774</v>
      </c>
      <c r="I63" s="108"/>
      <c r="J63" s="64">
        <v>0</v>
      </c>
      <c r="K63" s="107">
        <v>556</v>
      </c>
      <c r="L63" s="108"/>
      <c r="M63" s="63">
        <f>22099-200</f>
        <v>21899</v>
      </c>
      <c r="N63" s="107">
        <f>33711-502</f>
        <v>33209</v>
      </c>
      <c r="O63" s="108"/>
      <c r="P63" s="63">
        <f t="shared" si="1"/>
        <v>30451</v>
      </c>
      <c r="Q63" s="107">
        <f>SUM(E63+H63+K63+N63)</f>
        <v>43448</v>
      </c>
      <c r="R63" s="108"/>
      <c r="S63" s="59"/>
      <c r="T63" s="80"/>
    </row>
    <row r="64" spans="1:20" ht="15" customHeight="1" thickBot="1">
      <c r="A64" s="24" t="s">
        <v>39</v>
      </c>
      <c r="B64" s="41" t="s">
        <v>18</v>
      </c>
      <c r="C64" s="44" t="s">
        <v>19</v>
      </c>
      <c r="D64" s="66">
        <v>3375</v>
      </c>
      <c r="E64" s="71">
        <f>E63/D63*100</f>
        <v>115.82222222222222</v>
      </c>
      <c r="F64" s="73">
        <f>E63/D64*100</f>
        <v>115.82222222222222</v>
      </c>
      <c r="G64" s="66">
        <v>5219</v>
      </c>
      <c r="H64" s="71">
        <f>H63/G63*100</f>
        <v>111.5317751593587</v>
      </c>
      <c r="I64" s="73">
        <f>H63/G64*100</f>
        <v>110.63422111515615</v>
      </c>
      <c r="J64" s="67">
        <v>0</v>
      </c>
      <c r="K64" s="71" t="s">
        <v>24</v>
      </c>
      <c r="L64" s="73" t="s">
        <v>27</v>
      </c>
      <c r="M64" s="66">
        <f>34165-200</f>
        <v>33965</v>
      </c>
      <c r="N64" s="71">
        <f>N63/M63*100</f>
        <v>151.64619389013197</v>
      </c>
      <c r="O64" s="73">
        <f>N63/M64*100</f>
        <v>97.77417930222288</v>
      </c>
      <c r="P64" s="66">
        <f t="shared" si="1"/>
        <v>42559</v>
      </c>
      <c r="Q64" s="71">
        <f>Q63/P63*100</f>
        <v>142.68168533053102</v>
      </c>
      <c r="R64" s="73">
        <f>Q63/P64*100</f>
        <v>102.08886486994527</v>
      </c>
      <c r="S64" s="59">
        <v>26470</v>
      </c>
      <c r="T64" s="68">
        <v>4347</v>
      </c>
    </row>
    <row r="65" spans="1:20" ht="15" customHeight="1">
      <c r="A65" s="6"/>
      <c r="B65" s="39" t="s">
        <v>15</v>
      </c>
      <c r="C65" s="43" t="s">
        <v>16</v>
      </c>
      <c r="D65" s="63">
        <v>12560</v>
      </c>
      <c r="E65" s="107">
        <v>14197</v>
      </c>
      <c r="F65" s="108"/>
      <c r="G65" s="63">
        <v>12549</v>
      </c>
      <c r="H65" s="107">
        <v>12764</v>
      </c>
      <c r="I65" s="108"/>
      <c r="J65" s="64">
        <v>0</v>
      </c>
      <c r="K65" s="107">
        <v>0</v>
      </c>
      <c r="L65" s="108"/>
      <c r="M65" s="63">
        <f>18400-660</f>
        <v>17740</v>
      </c>
      <c r="N65" s="107">
        <f>49121-26783</f>
        <v>22338</v>
      </c>
      <c r="O65" s="108"/>
      <c r="P65" s="63">
        <f>SUM(D65+G65+J65+M65)</f>
        <v>42849</v>
      </c>
      <c r="Q65" s="107">
        <f>SUM(E65+H65+K65+N65)</f>
        <v>49299</v>
      </c>
      <c r="R65" s="108"/>
      <c r="S65" s="59"/>
      <c r="T65" s="80"/>
    </row>
    <row r="66" spans="1:20" ht="13.5" thickBot="1">
      <c r="A66" s="24" t="s">
        <v>40</v>
      </c>
      <c r="B66" s="41" t="s">
        <v>18</v>
      </c>
      <c r="C66" s="44" t="s">
        <v>19</v>
      </c>
      <c r="D66" s="66">
        <v>13013</v>
      </c>
      <c r="E66" s="71">
        <f>E65/D65*100</f>
        <v>113.03343949044586</v>
      </c>
      <c r="F66" s="73">
        <f>E65/D66*100</f>
        <v>109.09859371397832</v>
      </c>
      <c r="G66" s="66">
        <v>12765</v>
      </c>
      <c r="H66" s="71">
        <f>H65/G65*100</f>
        <v>101.71328392700613</v>
      </c>
      <c r="I66" s="73">
        <f>H65/G66*100</f>
        <v>99.9921660791226</v>
      </c>
      <c r="J66" s="67">
        <v>0</v>
      </c>
      <c r="K66" s="71" t="s">
        <v>24</v>
      </c>
      <c r="L66" s="73" t="s">
        <v>27</v>
      </c>
      <c r="M66" s="66">
        <f>18975-660</f>
        <v>18315</v>
      </c>
      <c r="N66" s="71">
        <f>N65/M65*100</f>
        <v>125.91882750845546</v>
      </c>
      <c r="O66" s="73">
        <f>N65/M66*100</f>
        <v>121.96560196560196</v>
      </c>
      <c r="P66" s="66">
        <f t="shared" si="1"/>
        <v>44093</v>
      </c>
      <c r="Q66" s="71">
        <f>Q65/P65*100</f>
        <v>115.05286004340824</v>
      </c>
      <c r="R66" s="73">
        <f>Q65/P66*100</f>
        <v>111.80686276733269</v>
      </c>
      <c r="S66" s="59">
        <v>14852</v>
      </c>
      <c r="T66" s="68">
        <v>0</v>
      </c>
    </row>
    <row r="67" spans="1:20" ht="12.75">
      <c r="A67" s="6"/>
      <c r="B67" s="39" t="s">
        <v>15</v>
      </c>
      <c r="C67" s="43" t="s">
        <v>16</v>
      </c>
      <c r="D67" s="63">
        <v>4891</v>
      </c>
      <c r="E67" s="107">
        <v>6910</v>
      </c>
      <c r="F67" s="108"/>
      <c r="G67" s="63">
        <v>12604</v>
      </c>
      <c r="H67" s="107">
        <v>14575</v>
      </c>
      <c r="I67" s="108"/>
      <c r="J67" s="64">
        <v>0</v>
      </c>
      <c r="K67" s="107">
        <v>256</v>
      </c>
      <c r="L67" s="108"/>
      <c r="M67" s="63">
        <f>40591-352</f>
        <v>40239</v>
      </c>
      <c r="N67" s="107">
        <f>45263-352</f>
        <v>44911</v>
      </c>
      <c r="O67" s="108"/>
      <c r="P67" s="63">
        <f t="shared" si="1"/>
        <v>57734</v>
      </c>
      <c r="Q67" s="107">
        <f>SUM(E67+H67+K67+N67)</f>
        <v>66652</v>
      </c>
      <c r="R67" s="108"/>
      <c r="S67" s="59"/>
      <c r="T67" s="80"/>
    </row>
    <row r="68" spans="1:20" ht="15" customHeight="1" thickBot="1">
      <c r="A68" s="24" t="s">
        <v>41</v>
      </c>
      <c r="B68" s="41" t="s">
        <v>18</v>
      </c>
      <c r="C68" s="44" t="s">
        <v>19</v>
      </c>
      <c r="D68" s="66">
        <v>4904</v>
      </c>
      <c r="E68" s="71">
        <f>E67/D67*100</f>
        <v>141.27990186056022</v>
      </c>
      <c r="F68" s="73">
        <f>E67/D68*100</f>
        <v>140.90538336052202</v>
      </c>
      <c r="G68" s="66">
        <v>13603</v>
      </c>
      <c r="H68" s="71">
        <f>H67/G67*100</f>
        <v>115.63789273246587</v>
      </c>
      <c r="I68" s="73">
        <f>H67/G68*100</f>
        <v>107.14548261412924</v>
      </c>
      <c r="J68" s="67">
        <v>40</v>
      </c>
      <c r="K68" s="71" t="s">
        <v>24</v>
      </c>
      <c r="L68" s="73">
        <f>K67/J68*100</f>
        <v>640</v>
      </c>
      <c r="M68" s="90">
        <f>46502-352</f>
        <v>46150</v>
      </c>
      <c r="N68" s="71">
        <f>N67/M67*100</f>
        <v>111.61062650662292</v>
      </c>
      <c r="O68" s="73">
        <f>N67/M68*100</f>
        <v>97.31527627302276</v>
      </c>
      <c r="P68" s="66">
        <f t="shared" si="1"/>
        <v>64697</v>
      </c>
      <c r="Q68" s="71">
        <f>Q67/P67*100</f>
        <v>115.44670384868535</v>
      </c>
      <c r="R68" s="73">
        <f>Q67/P68*100</f>
        <v>103.02177844413187</v>
      </c>
      <c r="S68" s="59">
        <v>30961</v>
      </c>
      <c r="T68" s="68">
        <v>9392</v>
      </c>
    </row>
    <row r="69" spans="1:20" ht="15" customHeight="1">
      <c r="A69" s="6"/>
      <c r="B69" s="39" t="s">
        <v>15</v>
      </c>
      <c r="C69" s="43" t="s">
        <v>16</v>
      </c>
      <c r="D69" s="63">
        <v>4690</v>
      </c>
      <c r="E69" s="107">
        <v>6004</v>
      </c>
      <c r="F69" s="108"/>
      <c r="G69" s="63">
        <v>2188</v>
      </c>
      <c r="H69" s="107">
        <v>2837</v>
      </c>
      <c r="I69" s="108"/>
      <c r="J69" s="64">
        <v>0</v>
      </c>
      <c r="K69" s="107">
        <v>0</v>
      </c>
      <c r="L69" s="108"/>
      <c r="M69" s="63">
        <f>7284-194</f>
        <v>7090</v>
      </c>
      <c r="N69" s="107">
        <f>20038-13189</f>
        <v>6849</v>
      </c>
      <c r="O69" s="108"/>
      <c r="P69" s="63">
        <f t="shared" si="1"/>
        <v>13968</v>
      </c>
      <c r="Q69" s="107">
        <f>SUM(E69+H69+K69+N69)</f>
        <v>15690</v>
      </c>
      <c r="R69" s="108"/>
      <c r="S69" s="59"/>
      <c r="T69" s="80"/>
    </row>
    <row r="70" spans="1:20" ht="15" customHeight="1" thickBot="1">
      <c r="A70" s="24" t="s">
        <v>42</v>
      </c>
      <c r="B70" s="41" t="s">
        <v>18</v>
      </c>
      <c r="C70" s="44" t="s">
        <v>19</v>
      </c>
      <c r="D70" s="66">
        <v>4707</v>
      </c>
      <c r="E70" s="71">
        <f>E69/D69*100</f>
        <v>128.01705756929638</v>
      </c>
      <c r="F70" s="73">
        <f>E69/D70*100</f>
        <v>127.5547057573826</v>
      </c>
      <c r="G70" s="66">
        <v>2801</v>
      </c>
      <c r="H70" s="71">
        <f>H69/G69*100</f>
        <v>129.6617915904936</v>
      </c>
      <c r="I70" s="73">
        <f>H69/G70*100</f>
        <v>101.28525526597643</v>
      </c>
      <c r="J70" s="67">
        <v>0</v>
      </c>
      <c r="K70" s="71" t="s">
        <v>24</v>
      </c>
      <c r="L70" s="73" t="s">
        <v>27</v>
      </c>
      <c r="M70" s="66">
        <f>7015-194</f>
        <v>6821</v>
      </c>
      <c r="N70" s="71">
        <f>N69/M69*100</f>
        <v>96.60084626234132</v>
      </c>
      <c r="O70" s="73">
        <f>N69/M70*100</f>
        <v>100.41049699457558</v>
      </c>
      <c r="P70" s="66">
        <f t="shared" si="1"/>
        <v>14329</v>
      </c>
      <c r="Q70" s="71">
        <f>Q69/P69*100</f>
        <v>112.32817869415808</v>
      </c>
      <c r="R70" s="73">
        <f>Q69/P70*100</f>
        <v>109.49822039221159</v>
      </c>
      <c r="S70" s="59">
        <v>5084</v>
      </c>
      <c r="T70" s="68">
        <v>419</v>
      </c>
    </row>
    <row r="71" spans="1:20" ht="15" customHeight="1">
      <c r="A71" s="19"/>
      <c r="B71" s="45" t="s">
        <v>15</v>
      </c>
      <c r="C71" s="46" t="s">
        <v>16</v>
      </c>
      <c r="D71" s="83">
        <v>1463</v>
      </c>
      <c r="E71" s="107">
        <v>1451</v>
      </c>
      <c r="F71" s="108"/>
      <c r="G71" s="83">
        <v>552</v>
      </c>
      <c r="H71" s="107">
        <v>591</v>
      </c>
      <c r="I71" s="108"/>
      <c r="J71" s="92">
        <v>0</v>
      </c>
      <c r="K71" s="107">
        <v>193</v>
      </c>
      <c r="L71" s="108"/>
      <c r="M71" s="59">
        <f>6852-135</f>
        <v>6717</v>
      </c>
      <c r="N71" s="107">
        <f>19726-11259</f>
        <v>8467</v>
      </c>
      <c r="O71" s="108"/>
      <c r="P71" s="63">
        <f t="shared" si="1"/>
        <v>8732</v>
      </c>
      <c r="Q71" s="107">
        <f>SUM(E71+H71+K71+N71)</f>
        <v>10702</v>
      </c>
      <c r="R71" s="108"/>
      <c r="S71" s="59"/>
      <c r="T71" s="81"/>
    </row>
    <row r="72" spans="1:20" ht="15" customHeight="1" thickBot="1">
      <c r="A72" s="13" t="s">
        <v>43</v>
      </c>
      <c r="B72" s="53" t="s">
        <v>18</v>
      </c>
      <c r="C72" s="54" t="s">
        <v>19</v>
      </c>
      <c r="D72" s="91">
        <v>1468</v>
      </c>
      <c r="E72" s="71">
        <f>E71/D71*100</f>
        <v>99.17976760082024</v>
      </c>
      <c r="F72" s="73">
        <f>E71/D72*100</f>
        <v>98.84196185286103</v>
      </c>
      <c r="G72" s="91">
        <v>595</v>
      </c>
      <c r="H72" s="71">
        <f>H71/G71*100</f>
        <v>107.06521739130434</v>
      </c>
      <c r="I72" s="73">
        <f>H71/G72*100</f>
        <v>99.32773109243698</v>
      </c>
      <c r="J72" s="91">
        <v>194</v>
      </c>
      <c r="K72" s="71" t="s">
        <v>24</v>
      </c>
      <c r="L72" s="73">
        <f>K71/J72*100</f>
        <v>99.48453608247422</v>
      </c>
      <c r="M72" s="91">
        <f>9304-135</f>
        <v>9169</v>
      </c>
      <c r="N72" s="71">
        <f>N71/M71*100</f>
        <v>126.05329760309662</v>
      </c>
      <c r="O72" s="73">
        <f>N71/M72*100</f>
        <v>92.3437670411168</v>
      </c>
      <c r="P72" s="91">
        <f t="shared" si="1"/>
        <v>11426</v>
      </c>
      <c r="Q72" s="71">
        <f>Q71/P71*100</f>
        <v>122.56069628950985</v>
      </c>
      <c r="R72" s="73">
        <f>Q71/P72*100</f>
        <v>93.66357430421844</v>
      </c>
      <c r="S72" s="59">
        <v>5498</v>
      </c>
      <c r="T72" s="93">
        <v>1912</v>
      </c>
    </row>
    <row r="73" spans="1:20" ht="15" customHeight="1" thickTop="1">
      <c r="A73" s="19"/>
      <c r="B73" s="55" t="s">
        <v>15</v>
      </c>
      <c r="C73" s="56" t="s">
        <v>16</v>
      </c>
      <c r="D73" s="59">
        <f>SUM(D9+D11+D13+D15+D17+D19+D21+D23+D25+D27+D29+D31+D51+D53+D55+D57+D59+D61+D63+D65+D67+D69+D71)</f>
        <v>307620</v>
      </c>
      <c r="E73" s="109">
        <f>SUM(E9+E11+E13+E15+E17+E19+E21+E23+E25+E27+E29+E31+E51+E53+E55+E57+E59+E61+E63+E65+E67+E69+E71)</f>
        <v>326832</v>
      </c>
      <c r="F73" s="110"/>
      <c r="G73" s="59">
        <f>SUM(G9+G11+G13+G15+G17+G19+G21+G23+G25+G27+G29+G31+G51+G53+G55+G57+G59+G61+G63+G65+G67+G69+G71)</f>
        <v>885764</v>
      </c>
      <c r="H73" s="109">
        <f>SUM(H9+H11+H13+H15+H17+H19+H21+H23+H25+H27+H29+H31+H51+H53+H55+H57+H59+H61+H63+H65+H67+H69+H71)</f>
        <v>933019</v>
      </c>
      <c r="I73" s="110"/>
      <c r="J73" s="59">
        <f>SUM(J9+J11+J13+J15+J17+J19+J21+J23+J25+J27+J29+J31+J51+J53+J55+J57+J59+J61+J63+J65+J67+J69+J71)</f>
        <v>23345</v>
      </c>
      <c r="K73" s="109">
        <f>SUM(K9+K11+K13+K15+K17+K19+K21+K23+K25+K27+K29+K31+K51+K53+K55+K57+K59+K61+K63+K65+K67+K69+K71)</f>
        <v>21856</v>
      </c>
      <c r="L73" s="110"/>
      <c r="M73" s="59">
        <f>SUM(M9+M11+M13+M15+M17+M19+M21+M23+M25+M27+M29+M31+M51+M53+M55+M57+M59+M61+M63+M65+M67+M69+M71)</f>
        <v>1060415</v>
      </c>
      <c r="N73" s="109">
        <f>SUM(N9+N11+N13+N15+N17+N19+N21+N23+N25+N27+N29+N31+N51+N53+N55+N57+N59+N61+N63+N65+N67+N69+N71)</f>
        <v>1558467</v>
      </c>
      <c r="O73" s="110"/>
      <c r="P73" s="94">
        <f>SUM(P9+P11+P13+P15+P17+P19+P21+P23+P25+P27+P29+P31+P51+P53+P55+P57+P59+P61+P63+P65+P67+P69+P71)</f>
        <v>2277144</v>
      </c>
      <c r="Q73" s="109">
        <f>SUM(Q9+Q11+Q13+Q15+Q17+Q19+Q21+Q23+Q25+Q27+Q29+Q31+Q51+Q53+Q55+Q57+Q59+Q61+Q63+Q65+Q67+Q69+Q71)</f>
        <v>2840174</v>
      </c>
      <c r="R73" s="110"/>
      <c r="S73" s="83"/>
      <c r="T73" s="95"/>
    </row>
    <row r="74" spans="1:20" ht="15" customHeight="1" thickBot="1">
      <c r="A74" s="31" t="s">
        <v>44</v>
      </c>
      <c r="B74" s="57" t="s">
        <v>18</v>
      </c>
      <c r="C74" s="58" t="s">
        <v>19</v>
      </c>
      <c r="D74" s="66">
        <f>SUM(D10+D12+D14+D16+D18+D20+D22+D24+D26+D28+D30+D32+D52+D54+D56+D58+D60+D62+D64+D66+D68+D70+D72)</f>
        <v>290110</v>
      </c>
      <c r="E74" s="71">
        <f>E73/D73*100</f>
        <v>106.24536766140042</v>
      </c>
      <c r="F74" s="73">
        <f>E73/D74*100</f>
        <v>112.65795732653132</v>
      </c>
      <c r="G74" s="66">
        <f>SUM(G10+G12+G14+G16+G18+G20+G22+G24+G26+G28+G30+G32+G52+G54+G56+G58+G60+G62+G64+G66+G68+G70+G72)</f>
        <v>902972</v>
      </c>
      <c r="H74" s="71">
        <f>H73/G73*100</f>
        <v>105.33494249032474</v>
      </c>
      <c r="I74" s="73">
        <f>H73/G74*100</f>
        <v>103.32756718923733</v>
      </c>
      <c r="J74" s="66">
        <f>SUM(J10+J12+J14+J16+J18+J20+J22+J24+J26+J28+J30+J32+J52+J54+J56+J58+J60+J62+J64+J66+J68+J70+J72)</f>
        <v>24464</v>
      </c>
      <c r="K74" s="71">
        <f>K73/J73*100</f>
        <v>93.62176054829729</v>
      </c>
      <c r="L74" s="73">
        <f>K73/J74*100</f>
        <v>89.33943754087639</v>
      </c>
      <c r="M74" s="66">
        <f>SUM(M10+M12+M14+M16+M18+M20+M22+M24+M26+M28+M30+M32+M52+M54+M56+M58+M60+M62+M64+M66+M68+M70+M72)</f>
        <v>1460966</v>
      </c>
      <c r="N74" s="71">
        <f>N73/M73*100</f>
        <v>146.9676494579952</v>
      </c>
      <c r="O74" s="73">
        <f>N73/M74*100</f>
        <v>106.67373504927562</v>
      </c>
      <c r="P74" s="66">
        <f>SUM(P10+P12+P14+P16+P18+P20+P22+P24+P26+P28+P30+P32+P52+P54+P56+P58+P60+P62+P64+P66+P68+P70+P72)</f>
        <v>2678512</v>
      </c>
      <c r="Q74" s="71">
        <f>Q73/P73*100</f>
        <v>124.72526989948814</v>
      </c>
      <c r="R74" s="73">
        <f>Q73/P74*100</f>
        <v>106.03551524129816</v>
      </c>
      <c r="S74" s="84">
        <f>SUM(S10:S72)</f>
        <v>990400</v>
      </c>
      <c r="T74" s="86">
        <f>SUM(T10:T72)</f>
        <v>152889</v>
      </c>
    </row>
    <row r="75" spans="5:21" ht="12.75">
      <c r="E75" s="106"/>
      <c r="F75" s="106"/>
      <c r="H75" s="106"/>
      <c r="I75" s="106"/>
      <c r="K75" s="106"/>
      <c r="L75" s="106"/>
      <c r="M75" s="32"/>
      <c r="N75" s="106"/>
      <c r="O75" s="106"/>
      <c r="Q75" s="106"/>
      <c r="R75" s="106"/>
      <c r="S75" s="33"/>
      <c r="T75" s="34"/>
      <c r="U75" s="35"/>
    </row>
    <row r="76" spans="1:19" ht="12.75">
      <c r="A76" s="29" t="s">
        <v>45</v>
      </c>
      <c r="S76" s="32"/>
    </row>
    <row r="77" spans="1:19" ht="12.75">
      <c r="A77" s="36" t="s">
        <v>46</v>
      </c>
      <c r="E77" s="37"/>
      <c r="F77" s="38"/>
      <c r="G77" s="38"/>
      <c r="H77" s="37"/>
      <c r="I77" s="38"/>
      <c r="J77" s="38"/>
      <c r="K77" s="37"/>
      <c r="L77" s="38"/>
      <c r="M77" s="38"/>
      <c r="N77" s="37"/>
      <c r="O77" s="38"/>
      <c r="P77" s="38"/>
      <c r="Q77" s="37"/>
      <c r="R77" s="38"/>
      <c r="S77" s="37" t="s">
        <v>1</v>
      </c>
    </row>
    <row r="78" ht="12.75">
      <c r="M78" s="104"/>
    </row>
    <row r="79" spans="6:19" ht="12.75">
      <c r="F79" s="99"/>
      <c r="G79" s="99"/>
      <c r="H79" s="99"/>
      <c r="I79" s="99"/>
      <c r="J79" s="99"/>
      <c r="K79" s="99"/>
      <c r="L79" s="99"/>
      <c r="M79" s="99"/>
      <c r="N79" s="99"/>
      <c r="O79" s="99"/>
      <c r="R79" s="99"/>
      <c r="S79" s="4"/>
    </row>
    <row r="81" spans="13:15" ht="12.75">
      <c r="M81" s="96"/>
      <c r="N81" s="97"/>
      <c r="O81" s="96"/>
    </row>
    <row r="82" spans="6:18" ht="12.75">
      <c r="F82" s="96"/>
      <c r="G82" s="33"/>
      <c r="H82" s="96"/>
      <c r="I82" s="101"/>
      <c r="J82" s="101"/>
      <c r="K82" s="101"/>
      <c r="L82" s="101"/>
      <c r="M82" s="101"/>
      <c r="O82" s="102"/>
      <c r="P82" s="101"/>
      <c r="Q82" s="101"/>
      <c r="R82" s="98"/>
    </row>
    <row r="83" spans="7:17" ht="12.75">
      <c r="G83" s="100"/>
      <c r="I83" s="100"/>
      <c r="J83" s="100"/>
      <c r="K83" s="100"/>
      <c r="L83" s="100"/>
      <c r="M83" s="100"/>
      <c r="N83" s="100"/>
      <c r="O83" s="100"/>
      <c r="P83" s="100"/>
      <c r="Q83" s="100"/>
    </row>
  </sheetData>
  <sheetProtection/>
  <mergeCells count="148">
    <mergeCell ref="A3:T3"/>
    <mergeCell ref="D6:L6"/>
    <mergeCell ref="M6:O8"/>
    <mergeCell ref="P6:R6"/>
    <mergeCell ref="S6:T6"/>
    <mergeCell ref="B7:C7"/>
    <mergeCell ref="D7:F7"/>
    <mergeCell ref="G7:I7"/>
    <mergeCell ref="J7:L7"/>
    <mergeCell ref="P7:R7"/>
    <mergeCell ref="S7:S8"/>
    <mergeCell ref="T7:T8"/>
    <mergeCell ref="E9:F9"/>
    <mergeCell ref="H9:I9"/>
    <mergeCell ref="K9:L9"/>
    <mergeCell ref="N9:O9"/>
    <mergeCell ref="Q9:R9"/>
    <mergeCell ref="Q11:R11"/>
    <mergeCell ref="E13:F13"/>
    <mergeCell ref="H13:I13"/>
    <mergeCell ref="K13:L13"/>
    <mergeCell ref="N13:O13"/>
    <mergeCell ref="Q13:R13"/>
    <mergeCell ref="E11:F11"/>
    <mergeCell ref="H11:I11"/>
    <mergeCell ref="K11:L11"/>
    <mergeCell ref="N11:O11"/>
    <mergeCell ref="Q15:R15"/>
    <mergeCell ref="E17:F17"/>
    <mergeCell ref="H17:I17"/>
    <mergeCell ref="K17:L17"/>
    <mergeCell ref="N17:O17"/>
    <mergeCell ref="Q17:R17"/>
    <mergeCell ref="E15:F15"/>
    <mergeCell ref="H15:I15"/>
    <mergeCell ref="K15:L15"/>
    <mergeCell ref="N15:O15"/>
    <mergeCell ref="Q19:R19"/>
    <mergeCell ref="E21:F21"/>
    <mergeCell ref="H21:I21"/>
    <mergeCell ref="K21:L21"/>
    <mergeCell ref="N21:O21"/>
    <mergeCell ref="Q21:R21"/>
    <mergeCell ref="E19:F19"/>
    <mergeCell ref="H19:I19"/>
    <mergeCell ref="K19:L19"/>
    <mergeCell ref="N19:O19"/>
    <mergeCell ref="Q23:R23"/>
    <mergeCell ref="E25:F25"/>
    <mergeCell ref="H25:I25"/>
    <mergeCell ref="K25:L25"/>
    <mergeCell ref="N25:O25"/>
    <mergeCell ref="Q25:R25"/>
    <mergeCell ref="E23:F23"/>
    <mergeCell ref="H23:I23"/>
    <mergeCell ref="K23:L23"/>
    <mergeCell ref="N23:O23"/>
    <mergeCell ref="Q27:R27"/>
    <mergeCell ref="E29:F29"/>
    <mergeCell ref="H29:I29"/>
    <mergeCell ref="K29:L29"/>
    <mergeCell ref="N29:O29"/>
    <mergeCell ref="Q29:R29"/>
    <mergeCell ref="E27:F27"/>
    <mergeCell ref="H27:I27"/>
    <mergeCell ref="K27:L27"/>
    <mergeCell ref="N27:O27"/>
    <mergeCell ref="Q31:R31"/>
    <mergeCell ref="D48:L48"/>
    <mergeCell ref="M48:O48"/>
    <mergeCell ref="P48:R48"/>
    <mergeCell ref="E31:F31"/>
    <mergeCell ref="H31:I31"/>
    <mergeCell ref="K31:L31"/>
    <mergeCell ref="N31:O31"/>
    <mergeCell ref="B49:C49"/>
    <mergeCell ref="D49:F49"/>
    <mergeCell ref="G49:I49"/>
    <mergeCell ref="J49:L49"/>
    <mergeCell ref="P49:R49"/>
    <mergeCell ref="S49:S50"/>
    <mergeCell ref="Q53:R53"/>
    <mergeCell ref="E51:F51"/>
    <mergeCell ref="H51:I51"/>
    <mergeCell ref="K51:L51"/>
    <mergeCell ref="N51:O51"/>
    <mergeCell ref="S48:T48"/>
    <mergeCell ref="T49:T50"/>
    <mergeCell ref="Q57:R57"/>
    <mergeCell ref="E55:F55"/>
    <mergeCell ref="H55:I55"/>
    <mergeCell ref="K55:L55"/>
    <mergeCell ref="N55:O55"/>
    <mergeCell ref="Q51:R51"/>
    <mergeCell ref="E53:F53"/>
    <mergeCell ref="H53:I53"/>
    <mergeCell ref="K53:L53"/>
    <mergeCell ref="N53:O53"/>
    <mergeCell ref="Q61:R61"/>
    <mergeCell ref="E59:F59"/>
    <mergeCell ref="H59:I59"/>
    <mergeCell ref="K59:L59"/>
    <mergeCell ref="N59:O59"/>
    <mergeCell ref="Q55:R55"/>
    <mergeCell ref="E57:F57"/>
    <mergeCell ref="H57:I57"/>
    <mergeCell ref="K57:L57"/>
    <mergeCell ref="N57:O57"/>
    <mergeCell ref="Q65:R65"/>
    <mergeCell ref="E63:F63"/>
    <mergeCell ref="H63:I63"/>
    <mergeCell ref="K63:L63"/>
    <mergeCell ref="N63:O63"/>
    <mergeCell ref="Q59:R59"/>
    <mergeCell ref="E61:F61"/>
    <mergeCell ref="H61:I61"/>
    <mergeCell ref="K61:L61"/>
    <mergeCell ref="N61:O61"/>
    <mergeCell ref="Q69:R69"/>
    <mergeCell ref="E67:F67"/>
    <mergeCell ref="H67:I67"/>
    <mergeCell ref="K67:L67"/>
    <mergeCell ref="N67:O67"/>
    <mergeCell ref="Q63:R63"/>
    <mergeCell ref="E65:F65"/>
    <mergeCell ref="H65:I65"/>
    <mergeCell ref="K65:L65"/>
    <mergeCell ref="N65:O65"/>
    <mergeCell ref="Q73:R73"/>
    <mergeCell ref="E71:F71"/>
    <mergeCell ref="H71:I71"/>
    <mergeCell ref="K71:L71"/>
    <mergeCell ref="N71:O71"/>
    <mergeCell ref="Q67:R67"/>
    <mergeCell ref="E69:F69"/>
    <mergeCell ref="H69:I69"/>
    <mergeCell ref="K69:L69"/>
    <mergeCell ref="N69:O69"/>
    <mergeCell ref="Q75:R75"/>
    <mergeCell ref="E75:F75"/>
    <mergeCell ref="H75:I75"/>
    <mergeCell ref="K75:L75"/>
    <mergeCell ref="N75:O75"/>
    <mergeCell ref="Q71:R71"/>
    <mergeCell ref="E73:F73"/>
    <mergeCell ref="H73:I73"/>
    <mergeCell ref="K73:L73"/>
    <mergeCell ref="N73:O73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Lindovská Jana</cp:lastModifiedBy>
  <cp:lastPrinted>2017-03-29T11:09:35Z</cp:lastPrinted>
  <dcterms:created xsi:type="dcterms:W3CDTF">1997-01-24T11:07:25Z</dcterms:created>
  <dcterms:modified xsi:type="dcterms:W3CDTF">2017-03-29T11:09:41Z</dcterms:modified>
  <cp:category/>
  <cp:version/>
  <cp:contentType/>
  <cp:contentStatus/>
</cp:coreProperties>
</file>