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80" windowWidth="11355" windowHeight="7440"/>
  </bookViews>
  <sheets>
    <sheet name="všechny ÚZ" sheetId="1" r:id="rId1"/>
  </sheets>
  <calcPr calcId="145621"/>
</workbook>
</file>

<file path=xl/calcChain.xml><?xml version="1.0" encoding="utf-8"?>
<calcChain xmlns="http://schemas.openxmlformats.org/spreadsheetml/2006/main">
  <c r="E112" i="1" l="1"/>
  <c r="E103" i="1"/>
  <c r="E33" i="1" l="1"/>
  <c r="E32" i="1"/>
  <c r="E34" i="1" s="1"/>
  <c r="F88" i="1"/>
  <c r="E88" i="1"/>
  <c r="F87" i="1"/>
  <c r="E87" i="1"/>
  <c r="F86" i="1"/>
  <c r="E86" i="1"/>
  <c r="F85" i="1"/>
  <c r="E85" i="1"/>
  <c r="F84" i="1"/>
  <c r="F89" i="1" s="1"/>
  <c r="E84" i="1"/>
  <c r="E89" i="1" s="1"/>
  <c r="E71" i="1" l="1"/>
  <c r="E72" i="1"/>
  <c r="F72" i="1"/>
  <c r="F71" i="1"/>
  <c r="F73" i="1" s="1"/>
  <c r="F37" i="1" l="1"/>
  <c r="F179" i="1" l="1"/>
  <c r="E53" i="1"/>
  <c r="E58" i="1" s="1"/>
  <c r="E90" i="1"/>
  <c r="F90" i="1" l="1"/>
  <c r="E136" i="1" l="1"/>
  <c r="F164" i="1" l="1"/>
  <c r="F143" i="1"/>
  <c r="E143" i="1"/>
  <c r="E47" i="1"/>
  <c r="F25" i="1" l="1"/>
  <c r="E25" i="1"/>
  <c r="E26" i="1" s="1"/>
  <c r="E134" i="1"/>
  <c r="F7" i="1"/>
  <c r="E7" i="1"/>
  <c r="F134" i="1"/>
  <c r="F44" i="1"/>
  <c r="E44" i="1"/>
  <c r="E37" i="1"/>
  <c r="F148" i="1" l="1"/>
  <c r="F15" i="1" l="1"/>
  <c r="F14" i="1"/>
  <c r="F17" i="1"/>
  <c r="F53" i="1"/>
  <c r="F52" i="1"/>
  <c r="F50" i="1"/>
  <c r="F150" i="1" l="1"/>
  <c r="F142" i="1"/>
  <c r="F123" i="1" l="1"/>
  <c r="F177" i="1"/>
  <c r="F6" i="1"/>
  <c r="F154" i="1"/>
  <c r="F22" i="1" l="1"/>
  <c r="F24" i="1" l="1"/>
  <c r="F9" i="1" l="1"/>
  <c r="F20" i="1" s="1"/>
  <c r="F18" i="1"/>
  <c r="F19" i="1" s="1"/>
  <c r="F101" i="1" l="1"/>
  <c r="F178" i="1"/>
  <c r="F91" i="1" l="1"/>
  <c r="F60" i="1"/>
  <c r="F170" i="1"/>
  <c r="F171" i="1" s="1"/>
  <c r="F156" i="1"/>
  <c r="F157" i="1" s="1"/>
  <c r="F155" i="1"/>
  <c r="F149" i="1"/>
  <c r="F144" i="1"/>
  <c r="F139" i="1"/>
  <c r="F96" i="1"/>
  <c r="F100" i="1"/>
  <c r="F47" i="1"/>
  <c r="F158" i="1" l="1"/>
  <c r="E149" i="1"/>
  <c r="E144" i="1"/>
  <c r="E116" i="1"/>
  <c r="F93" i="1"/>
  <c r="F94" i="1" s="1"/>
  <c r="E14" i="1" l="1"/>
  <c r="F132" i="1" l="1"/>
  <c r="E131" i="1"/>
  <c r="H85" i="1" l="1"/>
  <c r="G110" i="1" l="1"/>
  <c r="G27" i="1"/>
  <c r="G25" i="1"/>
  <c r="G185" i="1" l="1"/>
  <c r="H84" i="1" l="1"/>
  <c r="F69" i="1" l="1"/>
  <c r="F64" i="1"/>
  <c r="F38" i="1" l="1"/>
  <c r="F181" i="1"/>
  <c r="F182" i="1" s="1"/>
  <c r="F166" i="1"/>
  <c r="F165" i="1"/>
  <c r="F151" i="1"/>
  <c r="F152" i="1" s="1"/>
  <c r="F110" i="1"/>
  <c r="F56" i="1"/>
  <c r="E138" i="1" l="1"/>
  <c r="E140" i="1" s="1"/>
  <c r="F34" i="1"/>
  <c r="E64" i="1"/>
  <c r="E106" i="1"/>
  <c r="E113" i="1" s="1"/>
  <c r="E9" i="1"/>
  <c r="E20" i="1" s="1"/>
  <c r="E10" i="1"/>
  <c r="E19" i="1" s="1"/>
  <c r="F133" i="1" l="1"/>
  <c r="E133" i="1"/>
  <c r="E27" i="1"/>
  <c r="E28" i="1" s="1"/>
  <c r="E166" i="1" l="1"/>
  <c r="F66" i="1"/>
  <c r="F27" i="1" l="1"/>
  <c r="F99" i="1" l="1"/>
  <c r="F135" i="1" l="1"/>
  <c r="F140" i="1"/>
  <c r="F141" i="1" s="1"/>
  <c r="F106" i="1" l="1"/>
  <c r="F55" i="1" l="1"/>
  <c r="F58" i="1" s="1"/>
  <c r="F114" i="1"/>
  <c r="F116" i="1" s="1"/>
  <c r="F28" i="1"/>
  <c r="F67" i="1"/>
  <c r="F70" i="1" s="1"/>
  <c r="F180" i="1"/>
  <c r="F183" i="1" s="1"/>
  <c r="F117" i="1"/>
  <c r="F118" i="1" s="1"/>
  <c r="F119" i="1" s="1"/>
  <c r="E135" i="1"/>
  <c r="E155" i="1"/>
  <c r="E73" i="1"/>
  <c r="F175" i="1"/>
  <c r="F176" i="1" s="1"/>
  <c r="F167" i="1"/>
  <c r="F168" i="1" s="1"/>
  <c r="E128" i="1"/>
  <c r="E129" i="1" s="1"/>
  <c r="E130" i="1" s="1"/>
  <c r="F97" i="1"/>
  <c r="E175" i="1"/>
  <c r="E176" i="1" s="1"/>
  <c r="F61" i="1"/>
  <c r="F62" i="1" s="1"/>
  <c r="F31" i="1"/>
  <c r="E93" i="1"/>
  <c r="E182" i="1"/>
  <c r="E167" i="1"/>
  <c r="F121" i="1"/>
  <c r="F124" i="1" s="1"/>
  <c r="E95" i="1"/>
  <c r="E97" i="1" s="1"/>
  <c r="E104" i="1" s="1"/>
  <c r="F128" i="1"/>
  <c r="F129" i="1" s="1"/>
  <c r="F130" i="1" s="1"/>
  <c r="E67" i="1"/>
  <c r="E70" i="1" s="1"/>
  <c r="E152" i="1"/>
  <c r="F48" i="1"/>
  <c r="F59" i="1" s="1"/>
  <c r="F126" i="1"/>
  <c r="F127" i="1" s="1"/>
  <c r="E165" i="1"/>
  <c r="E168" i="1" s="1"/>
  <c r="E126" i="1"/>
  <c r="E127" i="1" s="1"/>
  <c r="F23" i="1"/>
  <c r="F26" i="1" s="1"/>
  <c r="F29" i="1" s="1"/>
  <c r="F109" i="1"/>
  <c r="F112" i="1" s="1"/>
  <c r="F113" i="1" s="1"/>
  <c r="F98" i="1"/>
  <c r="F103" i="1" s="1"/>
  <c r="F104" i="1" s="1"/>
  <c r="F75" i="1"/>
  <c r="F76" i="1" s="1"/>
  <c r="F45" i="1"/>
  <c r="E178" i="1"/>
  <c r="E183" i="1" s="1"/>
  <c r="E180" i="1"/>
  <c r="E132" i="1"/>
  <c r="D22" i="1"/>
  <c r="E22" i="1"/>
  <c r="E29" i="1" s="1"/>
  <c r="E91" i="1"/>
  <c r="E94" i="1" s="1"/>
  <c r="E52" i="1"/>
  <c r="E38" i="1"/>
  <c r="E43" i="1" s="1"/>
  <c r="E48" i="1"/>
  <c r="D48" i="1"/>
  <c r="E147" i="1"/>
  <c r="E153" i="1" s="1"/>
  <c r="E45" i="1"/>
  <c r="F145" i="1"/>
  <c r="F147" i="1" s="1"/>
  <c r="F153" i="1" s="1"/>
  <c r="E121" i="1"/>
  <c r="E124" i="1" s="1"/>
  <c r="F39" i="1"/>
  <c r="F43" i="1" s="1"/>
  <c r="E75" i="1"/>
  <c r="E157" i="1"/>
  <c r="F36" i="1"/>
  <c r="E118" i="1"/>
  <c r="E119" i="1" s="1"/>
  <c r="E61" i="1"/>
  <c r="E62" i="1" s="1"/>
  <c r="E36" i="1"/>
  <c r="E46" i="1" s="1"/>
  <c r="D19" i="1"/>
  <c r="D20" i="1" s="1"/>
  <c r="D140" i="1"/>
  <c r="D141" i="1" s="1"/>
  <c r="D129" i="1"/>
  <c r="D130" i="1" s="1"/>
  <c r="D103" i="1"/>
  <c r="D104" i="1" s="1"/>
  <c r="D118" i="1"/>
  <c r="D119" i="1" s="1"/>
  <c r="D61" i="1"/>
  <c r="D62" i="1" s="1"/>
  <c r="D58" i="1"/>
  <c r="D59" i="1" s="1"/>
  <c r="D36" i="1"/>
  <c r="D43" i="1"/>
  <c r="F46" i="1" l="1"/>
  <c r="E158" i="1"/>
  <c r="E141" i="1"/>
  <c r="E59" i="1"/>
  <c r="E76" i="1"/>
  <c r="D46" i="1"/>
  <c r="D184" i="1" s="1"/>
  <c r="F184" i="1" l="1"/>
  <c r="E184" i="1"/>
</calcChain>
</file>

<file path=xl/sharedStrings.xml><?xml version="1.0" encoding="utf-8"?>
<sst xmlns="http://schemas.openxmlformats.org/spreadsheetml/2006/main" count="212" uniqueCount="134">
  <si>
    <t>MO</t>
  </si>
  <si>
    <t>číslo</t>
  </si>
  <si>
    <t>název</t>
  </si>
  <si>
    <t>SR</t>
  </si>
  <si>
    <t>UR</t>
  </si>
  <si>
    <t>MOP</t>
  </si>
  <si>
    <t>POR</t>
  </si>
  <si>
    <t>RAB</t>
  </si>
  <si>
    <t>PET</t>
  </si>
  <si>
    <t>ÚHRN</t>
  </si>
  <si>
    <t>INVESTIČNÍ TRANSFERY CELKEM</t>
  </si>
  <si>
    <t>poukázáno</t>
  </si>
  <si>
    <t>ÚZ 3500</t>
  </si>
  <si>
    <t>MIC</t>
  </si>
  <si>
    <t>OJI</t>
  </si>
  <si>
    <t>HOS</t>
  </si>
  <si>
    <t>Zateplení a výměna oken ZŠ Srbská</t>
  </si>
  <si>
    <t>ÚZ 8113</t>
  </si>
  <si>
    <t>Rekonstrukce ul. 28. října</t>
  </si>
  <si>
    <t>Plocha ul. Jubilejní - I. etapa</t>
  </si>
  <si>
    <t>Výstavba bytového domu ul. Kotlářova</t>
  </si>
  <si>
    <t>Rekonstrukce podchodu pod ul. Místecká u Dřevoprodeje</t>
  </si>
  <si>
    <t>Rekonstrukce objektu Pavlovova 31</t>
  </si>
  <si>
    <t>Vodní areál Ostrava-Jih</t>
  </si>
  <si>
    <t>NBE</t>
  </si>
  <si>
    <t>MŠ Nová Bělá</t>
  </si>
  <si>
    <t>Rekonstrukce KD Hošťálkovice II.etapa</t>
  </si>
  <si>
    <t>Energetická opatření KD O.-Petřkovice</t>
  </si>
  <si>
    <t>Oprava MK ul.  Ferdinandova kolonie</t>
  </si>
  <si>
    <t>Rekonstrukce MK ul. Kopeckého</t>
  </si>
  <si>
    <t>Rekonstrukce MK ul. Vrchlického</t>
  </si>
  <si>
    <t>Rekonstrukce otopné soustavy v budově radnice MO</t>
  </si>
  <si>
    <t>MAR</t>
  </si>
  <si>
    <t>LHO</t>
  </si>
  <si>
    <t>Rozšíření ul. Hlohové</t>
  </si>
  <si>
    <t>SBE</t>
  </si>
  <si>
    <t>Přemístění autobusové zastávky ul. Junácká</t>
  </si>
  <si>
    <t>NVE</t>
  </si>
  <si>
    <t>Odvod vod z rybníků, obnova vodního režimu-rybníky O.-N.Ves</t>
  </si>
  <si>
    <t>ÚZ 3636</t>
  </si>
  <si>
    <t>KPO</t>
  </si>
  <si>
    <t>Zvýšení bezpečnosti na komunikacích v Mob Kr.Pole,II.et., 2. část</t>
  </si>
  <si>
    <t>EKOTERMO O.-Jih, 2. část (projekt A)</t>
  </si>
  <si>
    <t>ÚZ 8224</t>
  </si>
  <si>
    <t>SLO</t>
  </si>
  <si>
    <t>Regenerace sídliště Muglinov, 2. etapa</t>
  </si>
  <si>
    <t>Modernizace výuky v ZŠ Krásné Pole</t>
  </si>
  <si>
    <t>Preventivní povodňová ochrana</t>
  </si>
  <si>
    <t>Nejmladší pomáhají zlepšovat ŽP pro budoucí generace</t>
  </si>
  <si>
    <t>ÚZ 1030</t>
  </si>
  <si>
    <t>Rekonstrukce podchodu ul. Dr. Martínka u Savarinu</t>
  </si>
  <si>
    <t>VIT</t>
  </si>
  <si>
    <t>Výkup garáže v rámci akce Sportovní areál U Cementárny</t>
  </si>
  <si>
    <t>MHH</t>
  </si>
  <si>
    <t>Snížení energetické náročnosti budovy knihovny č.p. 418</t>
  </si>
  <si>
    <t>ÚZ 3637</t>
  </si>
  <si>
    <t xml:space="preserve">Ptačí království na školní zahradě </t>
  </si>
  <si>
    <t>Přírodovědná učebna v atriu ZŠ V. Košaře 6</t>
  </si>
  <si>
    <t>Venkovní přírodovědná učebna ZŠ Horymírova 100</t>
  </si>
  <si>
    <t>Ekologické naučné stezky pro děti a mládež</t>
  </si>
  <si>
    <t>Chodník ul. Těšínská, úsek od ul. Bémova po zastávku Olšák</t>
  </si>
  <si>
    <t>Chodník ul. Těšínská, úsek Ozdravné centrum - zastávka Ještěrka</t>
  </si>
  <si>
    <t>PLE</t>
  </si>
  <si>
    <t>Zateplení a vým.oken hasičské zbrojnice - příprava projektu</t>
  </si>
  <si>
    <t>Tréninkové hřiště s umělým povrchem a osvětlením - PD</t>
  </si>
  <si>
    <t>Tréninkové hřiště s umělým povrchem a osvětlením - realizace</t>
  </si>
  <si>
    <t>Zateplení a vým.oken hasičské zbrojnice - realizace</t>
  </si>
  <si>
    <t>Využití tabletů při environmentálním vzdělávání</t>
  </si>
  <si>
    <t>pozor celkem 599 025 vč. Neinv.</t>
  </si>
  <si>
    <t>PRO</t>
  </si>
  <si>
    <t>Revitalizace mlýnského náhonu Proskovice</t>
  </si>
  <si>
    <t>POL</t>
  </si>
  <si>
    <t>Prodloužení jednotné kanalizace v ul. U Rybníčku</t>
  </si>
  <si>
    <t>Výstavba chodníku v rámci výstavby kanalizace</t>
  </si>
  <si>
    <t>Rekonstrukce MŠ Za Ještěrkou</t>
  </si>
  <si>
    <t>Dovybavení ZŠ Lhotka interaktivní tabulí</t>
  </si>
  <si>
    <t>Rekonstrukce kotelny ZŠ Krásné Pole</t>
  </si>
  <si>
    <t>Stavební úpravy MŠ Obránců míru</t>
  </si>
  <si>
    <t>Rekonstrukce MK Dostálova</t>
  </si>
  <si>
    <t>Zateplení objektu kina Luna</t>
  </si>
  <si>
    <t>ÚZ 95</t>
  </si>
  <si>
    <t>Rekonstrukce elektroinstalace ZŠ I. Sekaniny</t>
  </si>
  <si>
    <t>Snížení energetické náročnosti budovy MŠ Matrosovova</t>
  </si>
  <si>
    <t>Zateplení a výměna oken ZŠ Železárenská</t>
  </si>
  <si>
    <t>Snížení energetické náročnosti budovy MŠ U Dvoru</t>
  </si>
  <si>
    <t>Zateplení a výměna oken ZŠ Generála Janka</t>
  </si>
  <si>
    <t>Stavební úpravy sportovišť na ul. Molákova</t>
  </si>
  <si>
    <t>Komunikace ul. Na Milířích</t>
  </si>
  <si>
    <t>Rekonstrukce zahrady MŠ Generála Janka</t>
  </si>
  <si>
    <t>HRA</t>
  </si>
  <si>
    <t>Nasvětlení chodeckého přechodu</t>
  </si>
  <si>
    <t>Výstavba nové školní tělocvičny</t>
  </si>
  <si>
    <t>Úprava terénu na pozemku parc. č. 1900/1</t>
  </si>
  <si>
    <t>MŠ Repinova - zateplení fasády, výměna oken</t>
  </si>
  <si>
    <t>ZŠ Ostrava, Zelená 42</t>
  </si>
  <si>
    <t>ZŠ Ostrčilova - zateplení a výměna oken</t>
  </si>
  <si>
    <t>SVI</t>
  </si>
  <si>
    <t>ZŠ Bílovecká 1, rekonstrukce obvodového pláště</t>
  </si>
  <si>
    <t>ZŠ Bílovecká 10 - rekonstrukce obvodového pláště</t>
  </si>
  <si>
    <t>MŠ Polanecká 4 - rekonstrukce obvodového pláště</t>
  </si>
  <si>
    <t>Nasvětlení přechodů pro chodce Hlavní třída</t>
  </si>
  <si>
    <t>ÚZ 8123</t>
  </si>
  <si>
    <t>Snížení energetické náročnosti budovy knihovny</t>
  </si>
  <si>
    <t>Energetické úspory objektu úřadu</t>
  </si>
  <si>
    <t>Energetické úspory objektu č.p. 154</t>
  </si>
  <si>
    <t>Energetické úspory objektu Na Svobodě 3139</t>
  </si>
  <si>
    <t>Zateplení a výměna oken tělocvičny ZŠ Pěší</t>
  </si>
  <si>
    <t>Regenerace sídliště Muglinov, 3. etapa</t>
  </si>
  <si>
    <t>nedočerp. Neinv.</t>
  </si>
  <si>
    <t>Rekonstrukce vnitrobloku Hrušovská - Sadová</t>
  </si>
  <si>
    <t>Rekonstrukce bytového domu Trocnovská 38</t>
  </si>
  <si>
    <t>Rekonstrukce výtahu Na Můstku 2</t>
  </si>
  <si>
    <t>RPS Ostrava, Fifejdy II - II. etapa</t>
  </si>
  <si>
    <t>Příjezdová komunikace na ul. Pod Lomem</t>
  </si>
  <si>
    <t>Výkupy nemovitostí v souvisl. s výstavbou sport.areálu U Cementárny</t>
  </si>
  <si>
    <t>Regenerace sídliště Šalamouna - 4B etapa</t>
  </si>
  <si>
    <t>Rek.mostního pilíře za účelem venkovní lezecké stěny</t>
  </si>
  <si>
    <t>Výkupy nemovitostí v rámci akce Veřejné hřiště U Cementárny</t>
  </si>
  <si>
    <t>smlouva na 3 270 tis. Kč</t>
  </si>
  <si>
    <t>možná bude dotace</t>
  </si>
  <si>
    <t>Rekonstrukce zahrady Waldorfské MŠ</t>
  </si>
  <si>
    <t>Dětské hřiště a zahrada v přírodním stylu</t>
  </si>
  <si>
    <t>Zahrada nové MŠ v přírodním stylu</t>
  </si>
  <si>
    <t>Zahrada nové mateřské školy v Mob Kr.Pole v přírodním stylu</t>
  </si>
  <si>
    <t>Investiční transfery městským obvodům z rozpočtu SMO  k 31. 12. 2014</t>
  </si>
  <si>
    <t>Rekonstrukce Havlíčkova náměstí</t>
  </si>
  <si>
    <t>Zateplení  školských zařízení v obvodu Mor.Ova a Přívoz-II. část</t>
  </si>
  <si>
    <t>Zateplení škol.zař. - I. část (MŠ Šafaříkova)</t>
  </si>
  <si>
    <t>Park v režimu VKP Šoupala v O.-Porubě - IČ pro SP a DZVZ</t>
  </si>
  <si>
    <t>Výkupy pozemků v rámci rozšíření hřbitova</t>
  </si>
  <si>
    <t>Výkup pozemků</t>
  </si>
  <si>
    <t>Rozšíření parkoviště u obecního úřadu a sadové úpravy</t>
  </si>
  <si>
    <t>Rekonstrukce hasičské zbrojnice Nová Ves</t>
  </si>
  <si>
    <t>Příloha č.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</si>
</sst>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justify" vertical="justify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justify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 vertical="justify"/>
    </xf>
    <xf numFmtId="0" fontId="4" fillId="0" borderId="0" xfId="0" applyFont="1" applyFill="1" applyBorder="1" applyAlignment="1">
      <alignment horizontal="justify" vertical="justify"/>
    </xf>
    <xf numFmtId="0" fontId="4" fillId="0" borderId="0" xfId="0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3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4" fontId="3" fillId="0" borderId="6" xfId="0" applyNumberFormat="1" applyFont="1" applyFill="1" applyBorder="1"/>
    <xf numFmtId="4" fontId="2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/>
    </xf>
    <xf numFmtId="0" fontId="0" fillId="0" borderId="0" xfId="0" applyFill="1"/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/>
    <xf numFmtId="4" fontId="2" fillId="0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justify" vertical="justify"/>
    </xf>
    <xf numFmtId="4" fontId="3" fillId="0" borderId="15" xfId="0" applyNumberFormat="1" applyFont="1" applyFill="1" applyBorder="1"/>
    <xf numFmtId="0" fontId="3" fillId="0" borderId="16" xfId="0" applyFont="1" applyFill="1" applyBorder="1" applyAlignment="1">
      <alignment horizontal="justify" vertical="justify"/>
    </xf>
    <xf numFmtId="4" fontId="2" fillId="0" borderId="18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/>
    </xf>
    <xf numFmtId="3" fontId="0" fillId="0" borderId="0" xfId="0" applyNumberFormat="1" applyFill="1"/>
    <xf numFmtId="0" fontId="3" fillId="0" borderId="8" xfId="0" applyFont="1" applyFill="1" applyBorder="1" applyAlignment="1">
      <alignment horizontal="justify" vertical="justify"/>
    </xf>
    <xf numFmtId="0" fontId="2" fillId="0" borderId="21" xfId="0" applyFont="1" applyFill="1" applyBorder="1" applyAlignment="1">
      <alignment horizontal="center"/>
    </xf>
    <xf numFmtId="4" fontId="2" fillId="0" borderId="21" xfId="0" applyNumberFormat="1" applyFont="1" applyFill="1" applyBorder="1"/>
    <xf numFmtId="4" fontId="2" fillId="0" borderId="22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4" fontId="2" fillId="0" borderId="26" xfId="0" applyNumberFormat="1" applyFont="1" applyFill="1" applyBorder="1"/>
    <xf numFmtId="4" fontId="2" fillId="0" borderId="20" xfId="0" applyNumberFormat="1" applyFont="1" applyFill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4" fontId="8" fillId="0" borderId="0" xfId="0" applyNumberFormat="1" applyFont="1" applyFill="1" applyBorder="1"/>
    <xf numFmtId="4" fontId="4" fillId="0" borderId="0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4" fontId="2" fillId="0" borderId="16" xfId="0" applyNumberFormat="1" applyFont="1" applyFill="1" applyBorder="1"/>
    <xf numFmtId="4" fontId="2" fillId="0" borderId="3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/>
    </xf>
    <xf numFmtId="4" fontId="2" fillId="0" borderId="33" xfId="0" applyNumberFormat="1" applyFont="1" applyFill="1" applyBorder="1"/>
    <xf numFmtId="4" fontId="2" fillId="0" borderId="3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3" fillId="0" borderId="30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4" fontId="0" fillId="0" borderId="0" xfId="0" applyNumberFormat="1" applyFill="1"/>
    <xf numFmtId="4" fontId="3" fillId="0" borderId="6" xfId="0" applyNumberFormat="1" applyFont="1" applyFill="1" applyBorder="1" applyAlignment="1">
      <alignment horizontal="right"/>
    </xf>
    <xf numFmtId="0" fontId="2" fillId="0" borderId="2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justify" vertical="justify"/>
    </xf>
    <xf numFmtId="0" fontId="2" fillId="0" borderId="0" xfId="0" applyFont="1"/>
    <xf numFmtId="0" fontId="3" fillId="0" borderId="6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30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32" xfId="0" applyNumberFormat="1" applyFont="1" applyFill="1" applyBorder="1" applyAlignment="1">
      <alignment horizontal="right" vertical="center"/>
    </xf>
    <xf numFmtId="4" fontId="2" fillId="0" borderId="21" xfId="0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4" fontId="2" fillId="0" borderId="0" xfId="0" applyNumberFormat="1" applyFont="1" applyFill="1"/>
    <xf numFmtId="4" fontId="2" fillId="0" borderId="33" xfId="0" applyNumberFormat="1" applyFont="1" applyFill="1" applyBorder="1" applyAlignment="1">
      <alignment horizontal="right" vertical="center"/>
    </xf>
    <xf numFmtId="4" fontId="2" fillId="0" borderId="26" xfId="0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" fontId="0" fillId="0" borderId="16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/>
    <xf numFmtId="0" fontId="10" fillId="0" borderId="0" xfId="0" applyFont="1" applyFill="1"/>
    <xf numFmtId="0" fontId="10" fillId="0" borderId="31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24" xfId="0" applyFont="1" applyFill="1" applyBorder="1"/>
    <xf numFmtId="0" fontId="12" fillId="0" borderId="3" xfId="0" applyFont="1" applyFill="1" applyBorder="1"/>
    <xf numFmtId="0" fontId="10" fillId="0" borderId="31" xfId="0" applyFont="1" applyFill="1" applyBorder="1"/>
    <xf numFmtId="0" fontId="10" fillId="0" borderId="5" xfId="0" applyFont="1" applyFill="1" applyBorder="1"/>
    <xf numFmtId="0" fontId="12" fillId="0" borderId="0" xfId="0" applyFont="1" applyFill="1" applyBorder="1"/>
    <xf numFmtId="0" fontId="10" fillId="0" borderId="34" xfId="0" applyFont="1" applyFill="1" applyBorder="1"/>
    <xf numFmtId="0" fontId="10" fillId="0" borderId="17" xfId="0" applyFont="1" applyFill="1" applyBorder="1"/>
    <xf numFmtId="0" fontId="10" fillId="0" borderId="25" xfId="0" applyFont="1" applyFill="1" applyBorder="1"/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/>
    <xf numFmtId="0" fontId="10" fillId="0" borderId="9" xfId="0" applyFont="1" applyFill="1" applyBorder="1"/>
    <xf numFmtId="0" fontId="12" fillId="0" borderId="23" xfId="0" applyFont="1" applyFill="1" applyBorder="1"/>
    <xf numFmtId="0" fontId="10" fillId="0" borderId="29" xfId="0" applyFont="1" applyFill="1" applyBorder="1"/>
    <xf numFmtId="0" fontId="12" fillId="0" borderId="13" xfId="0" applyFont="1" applyFill="1" applyBorder="1"/>
    <xf numFmtId="0" fontId="13" fillId="0" borderId="5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24" xfId="0" applyFont="1" applyFill="1" applyBorder="1"/>
    <xf numFmtId="0" fontId="2" fillId="0" borderId="20" xfId="0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left" vertical="center"/>
    </xf>
    <xf numFmtId="0" fontId="12" fillId="2" borderId="2" xfId="0" applyFont="1" applyFill="1" applyBorder="1"/>
    <xf numFmtId="4" fontId="3" fillId="2" borderId="15" xfId="0" applyNumberFormat="1" applyFont="1" applyFill="1" applyBorder="1"/>
    <xf numFmtId="4" fontId="3" fillId="2" borderId="8" xfId="0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0" fontId="12" fillId="2" borderId="13" xfId="0" applyFont="1" applyFill="1" applyBorder="1"/>
    <xf numFmtId="0" fontId="12" fillId="2" borderId="0" xfId="0" applyFont="1" applyFill="1" applyBorder="1"/>
    <xf numFmtId="4" fontId="3" fillId="2" borderId="6" xfId="0" applyNumberFormat="1" applyFont="1" applyFill="1" applyBorder="1"/>
    <xf numFmtId="4" fontId="3" fillId="2" borderId="30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6" fillId="0" borderId="0" xfId="0" applyFont="1" applyFill="1"/>
    <xf numFmtId="0" fontId="3" fillId="0" borderId="1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0" fontId="6" fillId="0" borderId="0" xfId="0" applyFont="1" applyFill="1"/>
    <xf numFmtId="0" fontId="6" fillId="0" borderId="0" xfId="0" applyFont="1"/>
    <xf numFmtId="0" fontId="3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justify" vertical="justify"/>
    </xf>
    <xf numFmtId="0" fontId="0" fillId="0" borderId="36" xfId="0" applyFill="1" applyBorder="1" applyAlignment="1"/>
    <xf numFmtId="0" fontId="0" fillId="0" borderId="28" xfId="0" applyFill="1" applyBorder="1" applyAlignment="1"/>
    <xf numFmtId="0" fontId="3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4"/>
  <sheetViews>
    <sheetView tabSelected="1" workbookViewId="0">
      <selection activeCell="F1" sqref="F1"/>
    </sheetView>
  </sheetViews>
  <sheetFormatPr defaultRowHeight="12.75" x14ac:dyDescent="0.2"/>
  <cols>
    <col min="1" max="1" width="9.140625" style="44"/>
    <col min="2" max="2" width="9.140625" style="1"/>
    <col min="3" max="3" width="55.140625" style="127" customWidth="1"/>
    <col min="4" max="5" width="17.5703125" style="44" customWidth="1"/>
    <col min="6" max="6" width="17.5703125" style="1" customWidth="1"/>
    <col min="7" max="7" width="15.7109375" style="105" hidden="1" customWidth="1"/>
    <col min="8" max="8" width="13.85546875" style="44" hidden="1" customWidth="1"/>
    <col min="9" max="9" width="0" style="44" hidden="1" customWidth="1"/>
    <col min="10" max="10" width="14.42578125" style="105" bestFit="1" customWidth="1"/>
  </cols>
  <sheetData>
    <row r="1" spans="1:10" ht="18.75" x14ac:dyDescent="0.3">
      <c r="A1" s="197" t="s">
        <v>124</v>
      </c>
      <c r="D1" s="1"/>
      <c r="E1" s="1"/>
      <c r="F1" s="2" t="s">
        <v>133</v>
      </c>
    </row>
    <row r="2" spans="1:10" ht="13.5" thickBot="1" x14ac:dyDescent="0.25">
      <c r="A2" s="3"/>
      <c r="D2" s="1"/>
      <c r="E2" s="1"/>
      <c r="F2" s="2"/>
    </row>
    <row r="3" spans="1:10" s="203" customFormat="1" x14ac:dyDescent="0.2">
      <c r="A3" s="214" t="s">
        <v>0</v>
      </c>
      <c r="B3" s="207" t="s">
        <v>1</v>
      </c>
      <c r="C3" s="216" t="s">
        <v>2</v>
      </c>
      <c r="D3" s="207" t="s">
        <v>3</v>
      </c>
      <c r="E3" s="207" t="s">
        <v>4</v>
      </c>
      <c r="F3" s="209" t="s">
        <v>11</v>
      </c>
      <c r="G3" s="201"/>
      <c r="H3" s="202"/>
      <c r="I3" s="202"/>
      <c r="J3" s="201"/>
    </row>
    <row r="4" spans="1:10" s="203" customFormat="1" ht="13.5" thickBot="1" x14ac:dyDescent="0.25">
      <c r="A4" s="215"/>
      <c r="B4" s="208"/>
      <c r="C4" s="217"/>
      <c r="D4" s="208"/>
      <c r="E4" s="208"/>
      <c r="F4" s="210"/>
      <c r="G4" s="201"/>
      <c r="H4" s="202"/>
      <c r="I4" s="202"/>
      <c r="J4" s="201"/>
    </row>
    <row r="5" spans="1:10" ht="13.5" thickBot="1" x14ac:dyDescent="0.25">
      <c r="A5" s="166" t="s">
        <v>5</v>
      </c>
      <c r="B5" s="161"/>
      <c r="C5" s="144" t="s">
        <v>120</v>
      </c>
      <c r="D5" s="46">
        <v>0</v>
      </c>
      <c r="E5" s="46">
        <v>743000</v>
      </c>
      <c r="F5" s="65">
        <v>742697</v>
      </c>
    </row>
    <row r="6" spans="1:10" ht="14.25" thickTop="1" thickBot="1" x14ac:dyDescent="0.25">
      <c r="A6" s="37"/>
      <c r="B6" s="120"/>
      <c r="C6" s="130" t="s">
        <v>49</v>
      </c>
      <c r="D6" s="84">
        <v>0</v>
      </c>
      <c r="E6" s="84">
        <v>743000</v>
      </c>
      <c r="F6" s="85">
        <f>SUM(F5)</f>
        <v>742697</v>
      </c>
    </row>
    <row r="7" spans="1:10" x14ac:dyDescent="0.2">
      <c r="A7" s="37"/>
      <c r="B7" s="118">
        <v>6879</v>
      </c>
      <c r="C7" s="128" t="s">
        <v>126</v>
      </c>
      <c r="D7" s="113">
        <v>0</v>
      </c>
      <c r="E7" s="113">
        <f>13220000-6741000</f>
        <v>6479000</v>
      </c>
      <c r="F7" s="114">
        <f>SUM(3534407+3021509.34+1811589.66+1098278.22+3058243.5-6740027.72)</f>
        <v>5784000.0000000009</v>
      </c>
      <c r="G7" s="112"/>
    </row>
    <row r="8" spans="1:10" ht="13.5" thickBot="1" x14ac:dyDescent="0.25">
      <c r="A8" s="37"/>
      <c r="B8" s="160">
        <v>1658</v>
      </c>
      <c r="C8" s="129" t="s">
        <v>112</v>
      </c>
      <c r="D8" s="122">
        <v>0</v>
      </c>
      <c r="E8" s="122">
        <v>4000000</v>
      </c>
      <c r="F8" s="164">
        <v>4000000</v>
      </c>
    </row>
    <row r="9" spans="1:10" ht="14.25" thickTop="1" thickBot="1" x14ac:dyDescent="0.25">
      <c r="A9" s="37"/>
      <c r="B9" s="120"/>
      <c r="C9" s="130" t="s">
        <v>12</v>
      </c>
      <c r="D9" s="84">
        <v>0</v>
      </c>
      <c r="E9" s="84">
        <f>SUM(E7:E8)</f>
        <v>10479000</v>
      </c>
      <c r="F9" s="85">
        <f>SUM(F7:F8)</f>
        <v>9784000</v>
      </c>
    </row>
    <row r="10" spans="1:10" x14ac:dyDescent="0.2">
      <c r="A10" s="110"/>
      <c r="B10" s="118">
        <v>3919</v>
      </c>
      <c r="C10" s="128" t="s">
        <v>18</v>
      </c>
      <c r="D10" s="113">
        <v>6000000</v>
      </c>
      <c r="E10" s="113">
        <f>6000000-6000000</f>
        <v>0</v>
      </c>
      <c r="F10" s="114">
        <v>0</v>
      </c>
      <c r="G10" s="28"/>
      <c r="H10" s="70"/>
    </row>
    <row r="11" spans="1:10" x14ac:dyDescent="0.2">
      <c r="A11" s="110"/>
      <c r="B11" s="119">
        <v>5021</v>
      </c>
      <c r="C11" s="131" t="s">
        <v>93</v>
      </c>
      <c r="D11" s="115">
        <v>0</v>
      </c>
      <c r="E11" s="115">
        <v>402000</v>
      </c>
      <c r="F11" s="116">
        <v>402000</v>
      </c>
      <c r="G11" s="28"/>
      <c r="H11" s="70"/>
    </row>
    <row r="12" spans="1:10" x14ac:dyDescent="0.2">
      <c r="A12" s="110"/>
      <c r="B12" s="119">
        <v>5024</v>
      </c>
      <c r="C12" s="131" t="s">
        <v>94</v>
      </c>
      <c r="D12" s="115">
        <v>0</v>
      </c>
      <c r="E12" s="115">
        <v>117000</v>
      </c>
      <c r="F12" s="116">
        <v>117000</v>
      </c>
      <c r="G12" s="28"/>
      <c r="H12" s="70"/>
    </row>
    <row r="13" spans="1:10" x14ac:dyDescent="0.2">
      <c r="A13" s="110"/>
      <c r="B13" s="120">
        <v>5025</v>
      </c>
      <c r="C13" s="132" t="s">
        <v>95</v>
      </c>
      <c r="D13" s="111">
        <v>0</v>
      </c>
      <c r="E13" s="111">
        <v>264000</v>
      </c>
      <c r="F13" s="112">
        <v>264000</v>
      </c>
      <c r="G13" s="28"/>
      <c r="H13" s="70"/>
    </row>
    <row r="14" spans="1:10" x14ac:dyDescent="0.2">
      <c r="A14" s="110"/>
      <c r="B14" s="119">
        <v>3931</v>
      </c>
      <c r="C14" s="131" t="s">
        <v>109</v>
      </c>
      <c r="D14" s="115">
        <v>0</v>
      </c>
      <c r="E14" s="115">
        <f>2600000-387000</f>
        <v>2213000</v>
      </c>
      <c r="F14" s="116">
        <f>SUM(18000+471236.82+1723763.18)</f>
        <v>2213000</v>
      </c>
      <c r="G14" s="28"/>
      <c r="H14" s="70"/>
    </row>
    <row r="15" spans="1:10" x14ac:dyDescent="0.2">
      <c r="A15" s="110"/>
      <c r="B15" s="119">
        <v>1656</v>
      </c>
      <c r="C15" s="131" t="s">
        <v>110</v>
      </c>
      <c r="D15" s="115">
        <v>0</v>
      </c>
      <c r="E15" s="115">
        <v>2800000</v>
      </c>
      <c r="F15" s="116">
        <f>SUM(135107.55+2664892.45)</f>
        <v>2800000</v>
      </c>
      <c r="G15" s="28"/>
      <c r="H15" s="70"/>
    </row>
    <row r="16" spans="1:10" x14ac:dyDescent="0.2">
      <c r="A16" s="110"/>
      <c r="B16" s="120">
        <v>1657</v>
      </c>
      <c r="C16" s="132" t="s">
        <v>111</v>
      </c>
      <c r="D16" s="111">
        <v>0</v>
      </c>
      <c r="E16" s="111">
        <v>600000</v>
      </c>
      <c r="F16" s="112">
        <v>600000</v>
      </c>
      <c r="G16" s="28"/>
      <c r="H16" s="70"/>
    </row>
    <row r="17" spans="1:10" x14ac:dyDescent="0.2">
      <c r="A17" s="110"/>
      <c r="B17" s="159">
        <v>6882</v>
      </c>
      <c r="C17" s="133" t="s">
        <v>127</v>
      </c>
      <c r="D17" s="123">
        <v>0</v>
      </c>
      <c r="E17" s="123">
        <v>3034000</v>
      </c>
      <c r="F17" s="165">
        <f>SUM(561747.59+17000+2273697.34+3020+147705.53+30829.54)</f>
        <v>3033999.9999999995</v>
      </c>
      <c r="G17" s="28"/>
      <c r="H17" s="70"/>
    </row>
    <row r="18" spans="1:10" ht="13.5" thickBot="1" x14ac:dyDescent="0.25">
      <c r="A18" s="110"/>
      <c r="B18" s="160">
        <v>1655</v>
      </c>
      <c r="C18" s="129" t="s">
        <v>115</v>
      </c>
      <c r="D18" s="122">
        <v>0</v>
      </c>
      <c r="E18" s="122">
        <v>587000</v>
      </c>
      <c r="F18" s="164">
        <f>SUM(106298.5+480701.5)</f>
        <v>587000</v>
      </c>
      <c r="G18" s="28"/>
      <c r="H18" s="70"/>
    </row>
    <row r="19" spans="1:10" ht="14.25" thickTop="1" thickBot="1" x14ac:dyDescent="0.25">
      <c r="A19" s="37"/>
      <c r="B19" s="177"/>
      <c r="C19" s="134" t="s">
        <v>17</v>
      </c>
      <c r="D19" s="47">
        <f>SUM(D10)</f>
        <v>6000000</v>
      </c>
      <c r="E19" s="47">
        <f>SUM(E10:E18)</f>
        <v>10017000</v>
      </c>
      <c r="F19" s="47">
        <f>SUM(F10:F18)</f>
        <v>10017000</v>
      </c>
    </row>
    <row r="20" spans="1:10" s="29" customFormat="1" ht="13.5" thickBot="1" x14ac:dyDescent="0.25">
      <c r="A20" s="52"/>
      <c r="B20" s="178"/>
      <c r="C20" s="167" t="s">
        <v>9</v>
      </c>
      <c r="D20" s="168">
        <f>SUM(D19)</f>
        <v>6000000</v>
      </c>
      <c r="E20" s="168">
        <f>SUM(E6+E9+E19)</f>
        <v>21239000</v>
      </c>
      <c r="F20" s="168">
        <f>SUM(F6+F9+F19)</f>
        <v>20543697</v>
      </c>
      <c r="G20" s="68">
        <v>0</v>
      </c>
      <c r="H20" s="3"/>
      <c r="I20" s="3"/>
      <c r="J20" s="105"/>
    </row>
    <row r="21" spans="1:10" s="29" customFormat="1" ht="13.5" thickBot="1" x14ac:dyDescent="0.25">
      <c r="A21" s="54" t="s">
        <v>44</v>
      </c>
      <c r="B21" s="4"/>
      <c r="C21" s="139" t="s">
        <v>56</v>
      </c>
      <c r="D21" s="38">
        <v>0</v>
      </c>
      <c r="E21" s="38">
        <v>218000</v>
      </c>
      <c r="F21" s="57">
        <v>218000</v>
      </c>
      <c r="G21" s="68"/>
      <c r="H21" s="3"/>
      <c r="I21" s="3"/>
      <c r="J21" s="105"/>
    </row>
    <row r="22" spans="1:10" s="29" customFormat="1" ht="14.25" thickTop="1" thickBot="1" x14ac:dyDescent="0.25">
      <c r="A22" s="52"/>
      <c r="B22" s="179"/>
      <c r="C22" s="146" t="s">
        <v>49</v>
      </c>
      <c r="D22" s="40">
        <f>SUM(D21)</f>
        <v>0</v>
      </c>
      <c r="E22" s="40">
        <f>SUM(E21)</f>
        <v>218000</v>
      </c>
      <c r="F22" s="51">
        <f>SUM(F21)</f>
        <v>218000</v>
      </c>
      <c r="G22" s="68"/>
      <c r="H22" s="3"/>
      <c r="I22" s="3"/>
      <c r="J22" s="105"/>
    </row>
    <row r="23" spans="1:10" s="29" customFormat="1" x14ac:dyDescent="0.2">
      <c r="A23" s="52"/>
      <c r="B23" s="97">
        <v>2629</v>
      </c>
      <c r="C23" s="135" t="s">
        <v>45</v>
      </c>
      <c r="D23" s="91">
        <v>0</v>
      </c>
      <c r="E23" s="91">
        <v>316000</v>
      </c>
      <c r="F23" s="92">
        <f>SUM(131629+147913)</f>
        <v>279542</v>
      </c>
      <c r="G23" s="68">
        <v>36000</v>
      </c>
      <c r="H23" s="3"/>
      <c r="I23" s="3"/>
      <c r="J23" s="105"/>
    </row>
    <row r="24" spans="1:10" s="29" customFormat="1" x14ac:dyDescent="0.2">
      <c r="A24" s="52"/>
      <c r="B24" s="96">
        <v>2629</v>
      </c>
      <c r="C24" s="136" t="s">
        <v>107</v>
      </c>
      <c r="D24" s="61">
        <v>0</v>
      </c>
      <c r="E24" s="61">
        <v>223000</v>
      </c>
      <c r="F24" s="62">
        <f>SUM(128646.1+94302.62)</f>
        <v>222948.72</v>
      </c>
      <c r="G24" s="68"/>
      <c r="H24" s="3"/>
      <c r="I24" s="3"/>
      <c r="J24" s="105"/>
    </row>
    <row r="25" spans="1:10" s="29" customFormat="1" ht="13.5" thickBot="1" x14ac:dyDescent="0.25">
      <c r="A25" s="52"/>
      <c r="B25" s="98">
        <v>6880</v>
      </c>
      <c r="C25" s="141" t="s">
        <v>106</v>
      </c>
      <c r="D25" s="82">
        <v>0</v>
      </c>
      <c r="E25" s="82">
        <f>4256000-3578000</f>
        <v>678000</v>
      </c>
      <c r="F25" s="83">
        <f>SUM(801892.1+1953998.45+514492.25-2592344.28)</f>
        <v>678038.52</v>
      </c>
      <c r="G25" s="68">
        <f>SUM(4256000-3270000)</f>
        <v>986000</v>
      </c>
      <c r="H25" s="3" t="s">
        <v>118</v>
      </c>
      <c r="I25" s="3"/>
      <c r="J25" s="105"/>
    </row>
    <row r="26" spans="1:10" s="29" customFormat="1" ht="14.25" thickTop="1" thickBot="1" x14ac:dyDescent="0.25">
      <c r="A26" s="52"/>
      <c r="B26" s="99"/>
      <c r="C26" s="137" t="s">
        <v>12</v>
      </c>
      <c r="D26" s="39">
        <v>0</v>
      </c>
      <c r="E26" s="39">
        <f>SUM(E23:E25)</f>
        <v>1217000</v>
      </c>
      <c r="F26" s="50">
        <f>SUM(F23:F25)</f>
        <v>1180529.24</v>
      </c>
      <c r="G26" s="68"/>
      <c r="H26" s="3"/>
      <c r="I26" s="3"/>
      <c r="J26" s="105"/>
    </row>
    <row r="27" spans="1:10" s="29" customFormat="1" ht="13.5" thickBot="1" x14ac:dyDescent="0.25">
      <c r="A27" s="52"/>
      <c r="B27" s="93">
        <v>3930</v>
      </c>
      <c r="C27" s="139" t="s">
        <v>78</v>
      </c>
      <c r="D27" s="38">
        <v>0</v>
      </c>
      <c r="E27" s="38">
        <f>857000-35000</f>
        <v>822000</v>
      </c>
      <c r="F27" s="57">
        <f>SUM(371162+242233)</f>
        <v>613395</v>
      </c>
      <c r="G27" s="68">
        <f>SUM(822000-614000)</f>
        <v>208000</v>
      </c>
      <c r="H27" s="68"/>
      <c r="I27" s="3"/>
      <c r="J27" s="105"/>
    </row>
    <row r="28" spans="1:10" s="29" customFormat="1" ht="14.25" thickTop="1" thickBot="1" x14ac:dyDescent="0.25">
      <c r="A28" s="52"/>
      <c r="B28" s="99"/>
      <c r="C28" s="137" t="s">
        <v>17</v>
      </c>
      <c r="D28" s="39">
        <v>0</v>
      </c>
      <c r="E28" s="39">
        <f>SUM(E27)</f>
        <v>822000</v>
      </c>
      <c r="F28" s="50">
        <f>SUM(F27)</f>
        <v>613395</v>
      </c>
      <c r="G28" s="68"/>
      <c r="H28" s="3"/>
      <c r="I28" s="3"/>
      <c r="J28" s="105"/>
    </row>
    <row r="29" spans="1:10" s="29" customFormat="1" ht="13.5" thickBot="1" x14ac:dyDescent="0.25">
      <c r="A29" s="59"/>
      <c r="B29" s="178"/>
      <c r="C29" s="167" t="s">
        <v>9</v>
      </c>
      <c r="D29" s="169">
        <v>0</v>
      </c>
      <c r="E29" s="169">
        <f>SUM(E22+E26+E28)</f>
        <v>2257000</v>
      </c>
      <c r="F29" s="169">
        <f>SUM(F22+F26+F28)</f>
        <v>2011924.24</v>
      </c>
      <c r="G29" s="68"/>
      <c r="H29" s="3"/>
      <c r="I29" s="3"/>
      <c r="J29" s="105"/>
    </row>
    <row r="30" spans="1:10" s="29" customFormat="1" ht="13.5" thickBot="1" x14ac:dyDescent="0.25">
      <c r="A30" s="52" t="s">
        <v>14</v>
      </c>
      <c r="B30" s="4">
        <v>8742</v>
      </c>
      <c r="C30" s="139" t="s">
        <v>79</v>
      </c>
      <c r="D30" s="38">
        <v>0</v>
      </c>
      <c r="E30" s="38">
        <v>3000000</v>
      </c>
      <c r="F30" s="57">
        <v>3000000</v>
      </c>
      <c r="G30" s="68"/>
      <c r="H30" s="3"/>
      <c r="I30" s="3"/>
      <c r="J30" s="105"/>
    </row>
    <row r="31" spans="1:10" s="29" customFormat="1" ht="14.25" thickTop="1" thickBot="1" x14ac:dyDescent="0.25">
      <c r="A31" s="52"/>
      <c r="B31" s="97"/>
      <c r="C31" s="140" t="s">
        <v>80</v>
      </c>
      <c r="D31" s="41">
        <v>0</v>
      </c>
      <c r="E31" s="41">
        <v>3000000</v>
      </c>
      <c r="F31" s="86">
        <f>SUM(F30)</f>
        <v>3000000</v>
      </c>
      <c r="G31" s="68"/>
      <c r="H31" s="3"/>
      <c r="I31" s="3"/>
      <c r="J31" s="105"/>
    </row>
    <row r="32" spans="1:10" s="29" customFormat="1" x14ac:dyDescent="0.2">
      <c r="A32" s="52"/>
      <c r="B32" s="101"/>
      <c r="C32" s="138" t="s">
        <v>57</v>
      </c>
      <c r="D32" s="79">
        <v>0</v>
      </c>
      <c r="E32" s="79">
        <f>476000-3000</f>
        <v>473000</v>
      </c>
      <c r="F32" s="80">
        <v>466576</v>
      </c>
      <c r="G32" s="68"/>
      <c r="H32" s="3"/>
      <c r="I32" s="3"/>
      <c r="J32" s="105"/>
    </row>
    <row r="33" spans="1:10" s="29" customFormat="1" ht="13.5" thickBot="1" x14ac:dyDescent="0.25">
      <c r="A33" s="52"/>
      <c r="B33" s="98"/>
      <c r="C33" s="141" t="s">
        <v>58</v>
      </c>
      <c r="D33" s="82">
        <v>0</v>
      </c>
      <c r="E33" s="82">
        <f>299000-52000</f>
        <v>247000</v>
      </c>
      <c r="F33" s="83">
        <v>229841</v>
      </c>
      <c r="G33" s="68"/>
      <c r="H33" s="3"/>
      <c r="I33" s="3"/>
      <c r="J33" s="105"/>
    </row>
    <row r="34" spans="1:10" s="29" customFormat="1" ht="14.25" thickTop="1" thickBot="1" x14ac:dyDescent="0.25">
      <c r="A34" s="52"/>
      <c r="B34" s="97"/>
      <c r="C34" s="140" t="s">
        <v>49</v>
      </c>
      <c r="D34" s="41">
        <v>0</v>
      </c>
      <c r="E34" s="41">
        <f>SUM(E32:E33)</f>
        <v>720000</v>
      </c>
      <c r="F34" s="86">
        <f>SUM(F32:F33)</f>
        <v>696417</v>
      </c>
      <c r="G34" s="68"/>
      <c r="H34" s="3"/>
      <c r="I34" s="3"/>
      <c r="J34" s="105"/>
    </row>
    <row r="35" spans="1:10" s="29" customFormat="1" ht="13.5" thickBot="1" x14ac:dyDescent="0.25">
      <c r="A35" s="52"/>
      <c r="B35" s="163">
        <v>3708</v>
      </c>
      <c r="C35" s="144" t="s">
        <v>23</v>
      </c>
      <c r="D35" s="46">
        <v>1000000</v>
      </c>
      <c r="E35" s="46">
        <v>1000000</v>
      </c>
      <c r="F35" s="65">
        <v>0</v>
      </c>
      <c r="G35" s="68"/>
      <c r="H35" s="3"/>
      <c r="I35" s="3"/>
      <c r="J35" s="105"/>
    </row>
    <row r="36" spans="1:10" s="29" customFormat="1" ht="14.25" thickTop="1" thickBot="1" x14ac:dyDescent="0.25">
      <c r="A36" s="52"/>
      <c r="B36" s="180"/>
      <c r="C36" s="146" t="s">
        <v>12</v>
      </c>
      <c r="D36" s="40">
        <f>SUM(D35)</f>
        <v>1000000</v>
      </c>
      <c r="E36" s="40">
        <f>SUM(E35)</f>
        <v>1000000</v>
      </c>
      <c r="F36" s="51">
        <f>SUM(F35)</f>
        <v>0</v>
      </c>
      <c r="G36" s="68"/>
      <c r="H36" s="3"/>
      <c r="I36" s="3"/>
      <c r="J36" s="105"/>
    </row>
    <row r="37" spans="1:10" s="29" customFormat="1" x14ac:dyDescent="0.2">
      <c r="A37" s="52"/>
      <c r="B37" s="94">
        <v>6860</v>
      </c>
      <c r="C37" s="142" t="s">
        <v>16</v>
      </c>
      <c r="D37" s="55">
        <v>10300000</v>
      </c>
      <c r="E37" s="55">
        <f>10300000-2300000-4120000</f>
        <v>3880000</v>
      </c>
      <c r="F37" s="56">
        <f>SUM(4629243.68+5445+2383982.05+318431.77+115048.33+547849.17-4119599.32)</f>
        <v>3880400.68</v>
      </c>
      <c r="G37" s="68"/>
      <c r="H37" s="68"/>
      <c r="I37" s="3"/>
      <c r="J37" s="105"/>
    </row>
    <row r="38" spans="1:10" s="29" customFormat="1" x14ac:dyDescent="0.2">
      <c r="A38" s="52"/>
      <c r="B38" s="95">
        <v>8747</v>
      </c>
      <c r="C38" s="143" t="s">
        <v>19</v>
      </c>
      <c r="D38" s="64">
        <v>8500000</v>
      </c>
      <c r="E38" s="64">
        <f>8500000-1000000</f>
        <v>7500000</v>
      </c>
      <c r="F38" s="67">
        <f>SUM(52224.3+2095717.43+3001508.82+64880+24351.25+1774544.3+5802.7+43061)</f>
        <v>7062089.7999999998</v>
      </c>
      <c r="G38" s="68"/>
      <c r="H38" s="3"/>
      <c r="I38" s="3"/>
      <c r="J38" s="105"/>
    </row>
    <row r="39" spans="1:10" s="29" customFormat="1" x14ac:dyDescent="0.2">
      <c r="A39" s="52"/>
      <c r="B39" s="96">
        <v>1653</v>
      </c>
      <c r="C39" s="136" t="s">
        <v>20</v>
      </c>
      <c r="D39" s="61">
        <v>14849000</v>
      </c>
      <c r="E39" s="61">
        <v>14849000</v>
      </c>
      <c r="F39" s="62">
        <f>SUM(7540142.74+2354389.25+271480.44+4682987.57)</f>
        <v>14849000</v>
      </c>
      <c r="G39" s="68"/>
      <c r="H39" s="3"/>
      <c r="I39" s="3"/>
      <c r="J39" s="105"/>
    </row>
    <row r="40" spans="1:10" x14ac:dyDescent="0.2">
      <c r="A40" s="52"/>
      <c r="B40" s="96">
        <v>3916</v>
      </c>
      <c r="C40" s="162" t="s">
        <v>21</v>
      </c>
      <c r="D40" s="61">
        <v>9500000</v>
      </c>
      <c r="E40" s="61">
        <v>9500000</v>
      </c>
      <c r="F40" s="62">
        <v>0</v>
      </c>
      <c r="G40" s="105">
        <v>9500000</v>
      </c>
      <c r="H40" s="58"/>
    </row>
    <row r="41" spans="1:10" x14ac:dyDescent="0.2">
      <c r="A41" s="52"/>
      <c r="B41" s="97">
        <v>8746</v>
      </c>
      <c r="C41" s="135" t="s">
        <v>22</v>
      </c>
      <c r="D41" s="91">
        <v>500000</v>
      </c>
      <c r="E41" s="91">
        <v>500000</v>
      </c>
      <c r="F41" s="92">
        <v>453750</v>
      </c>
      <c r="H41" s="58"/>
    </row>
    <row r="42" spans="1:10" ht="13.5" thickBot="1" x14ac:dyDescent="0.25">
      <c r="A42" s="52"/>
      <c r="B42" s="98">
        <v>3923</v>
      </c>
      <c r="C42" s="141" t="s">
        <v>50</v>
      </c>
      <c r="D42" s="82">
        <v>0</v>
      </c>
      <c r="E42" s="82">
        <v>3300000</v>
      </c>
      <c r="F42" s="83">
        <v>3300000</v>
      </c>
      <c r="H42" s="58"/>
    </row>
    <row r="43" spans="1:10" ht="14.25" thickTop="1" thickBot="1" x14ac:dyDescent="0.25">
      <c r="A43" s="52"/>
      <c r="B43" s="177"/>
      <c r="C43" s="134" t="s">
        <v>17</v>
      </c>
      <c r="D43" s="47">
        <f>SUM(D37:D41)</f>
        <v>43649000</v>
      </c>
      <c r="E43" s="47">
        <f>SUM(E37:E42)</f>
        <v>39529000</v>
      </c>
      <c r="F43" s="47">
        <f>SUM(F37:F42)</f>
        <v>29545240.48</v>
      </c>
      <c r="H43" s="58"/>
    </row>
    <row r="44" spans="1:10" ht="13.5" thickBot="1" x14ac:dyDescent="0.25">
      <c r="A44" s="52"/>
      <c r="B44" s="163"/>
      <c r="C44" s="144" t="s">
        <v>42</v>
      </c>
      <c r="D44" s="46">
        <v>0</v>
      </c>
      <c r="E44" s="46">
        <f>22814000-14136000</f>
        <v>8678000</v>
      </c>
      <c r="F44" s="65">
        <f>SUM(8531244.82+7577207.21+3647851.33+3057696.64-14135507.79)</f>
        <v>8678492.2100000009</v>
      </c>
      <c r="H44" s="58"/>
    </row>
    <row r="45" spans="1:10" ht="14.25" thickTop="1" thickBot="1" x14ac:dyDescent="0.25">
      <c r="A45" s="52"/>
      <c r="B45" s="181"/>
      <c r="C45" s="134" t="s">
        <v>43</v>
      </c>
      <c r="D45" s="47">
        <v>0</v>
      </c>
      <c r="E45" s="47">
        <f>SUM(E44)</f>
        <v>8678000</v>
      </c>
      <c r="F45" s="66">
        <f>SUM(F44)</f>
        <v>8678492.2100000009</v>
      </c>
      <c r="H45" s="58"/>
    </row>
    <row r="46" spans="1:10" s="29" customFormat="1" ht="13.5" thickBot="1" x14ac:dyDescent="0.25">
      <c r="A46" s="52"/>
      <c r="B46" s="182"/>
      <c r="C46" s="167" t="s">
        <v>9</v>
      </c>
      <c r="D46" s="169">
        <f>SUM(D36,D43)</f>
        <v>44649000</v>
      </c>
      <c r="E46" s="169">
        <f>SUM(E31+E34+E36+E43+E45)</f>
        <v>52927000</v>
      </c>
      <c r="F46" s="169">
        <f>SUM(F31+F34+F36+F43+F45)</f>
        <v>41920149.689999998</v>
      </c>
      <c r="G46" s="68"/>
      <c r="H46" s="68"/>
      <c r="I46" s="3"/>
      <c r="J46" s="105"/>
    </row>
    <row r="47" spans="1:10" s="29" customFormat="1" ht="13.5" thickBot="1" x14ac:dyDescent="0.25">
      <c r="A47" s="54" t="s">
        <v>6</v>
      </c>
      <c r="B47" s="183"/>
      <c r="C47" s="149" t="s">
        <v>48</v>
      </c>
      <c r="D47" s="38">
        <v>0</v>
      </c>
      <c r="E47" s="38">
        <f>207000-8000</f>
        <v>199000</v>
      </c>
      <c r="F47" s="57">
        <f>SUM(118070+53000+27646.47)</f>
        <v>198716.47</v>
      </c>
      <c r="G47" s="68"/>
      <c r="H47" s="68"/>
      <c r="I47" s="3"/>
      <c r="J47" s="105"/>
    </row>
    <row r="48" spans="1:10" s="29" customFormat="1" ht="14.25" thickTop="1" thickBot="1" x14ac:dyDescent="0.25">
      <c r="A48" s="52"/>
      <c r="B48" s="180"/>
      <c r="C48" s="150" t="s">
        <v>49</v>
      </c>
      <c r="D48" s="40">
        <f>SUM(D47)</f>
        <v>0</v>
      </c>
      <c r="E48" s="40">
        <f>SUM(E47)</f>
        <v>199000</v>
      </c>
      <c r="F48" s="51">
        <f>SUM(F47)</f>
        <v>198716.47</v>
      </c>
      <c r="G48" s="68"/>
      <c r="H48" s="68"/>
      <c r="I48" s="3"/>
      <c r="J48" s="105"/>
    </row>
    <row r="49" spans="1:10" s="29" customFormat="1" ht="13.5" thickBot="1" x14ac:dyDescent="0.25">
      <c r="A49" s="52"/>
      <c r="B49" s="93">
        <v>4610</v>
      </c>
      <c r="C49" s="139" t="s">
        <v>100</v>
      </c>
      <c r="D49" s="38">
        <v>0</v>
      </c>
      <c r="E49" s="38">
        <v>2000000</v>
      </c>
      <c r="F49" s="57">
        <v>2000000</v>
      </c>
      <c r="G49" s="68">
        <v>0</v>
      </c>
      <c r="H49" s="68"/>
      <c r="I49" s="3"/>
      <c r="J49" s="105"/>
    </row>
    <row r="50" spans="1:10" s="29" customFormat="1" ht="14.25" thickTop="1" thickBot="1" x14ac:dyDescent="0.25">
      <c r="A50" s="52"/>
      <c r="B50" s="184"/>
      <c r="C50" s="137" t="s">
        <v>12</v>
      </c>
      <c r="D50" s="39">
        <v>0</v>
      </c>
      <c r="E50" s="39">
        <v>2000000</v>
      </c>
      <c r="F50" s="50">
        <f>SUM(F49)</f>
        <v>2000000</v>
      </c>
      <c r="G50" s="68"/>
      <c r="H50" s="68"/>
      <c r="I50" s="3"/>
      <c r="J50" s="105"/>
    </row>
    <row r="51" spans="1:10" s="29" customFormat="1" ht="13.5" thickBot="1" x14ac:dyDescent="0.25">
      <c r="A51" s="52"/>
      <c r="B51" s="185"/>
      <c r="C51" s="147" t="s">
        <v>128</v>
      </c>
      <c r="D51" s="48">
        <v>0</v>
      </c>
      <c r="E51" s="48">
        <v>327000</v>
      </c>
      <c r="F51" s="49">
        <v>326700</v>
      </c>
      <c r="G51" s="68">
        <v>0</v>
      </c>
      <c r="H51" s="3"/>
      <c r="I51" s="3"/>
      <c r="J51" s="105"/>
    </row>
    <row r="52" spans="1:10" s="29" customFormat="1" ht="14.25" thickTop="1" thickBot="1" x14ac:dyDescent="0.25">
      <c r="A52" s="52"/>
      <c r="B52" s="186"/>
      <c r="C52" s="140" t="s">
        <v>39</v>
      </c>
      <c r="D52" s="41">
        <v>0</v>
      </c>
      <c r="E52" s="41">
        <f>SUM(E51)</f>
        <v>327000</v>
      </c>
      <c r="F52" s="86">
        <f>SUM(F51)</f>
        <v>326700</v>
      </c>
      <c r="G52" s="68"/>
      <c r="H52" s="3"/>
      <c r="I52" s="3"/>
      <c r="J52" s="105"/>
    </row>
    <row r="53" spans="1:10" s="29" customFormat="1" x14ac:dyDescent="0.2">
      <c r="A53" s="52"/>
      <c r="B53" s="94">
        <v>3917</v>
      </c>
      <c r="C53" s="142" t="s">
        <v>29</v>
      </c>
      <c r="D53" s="55">
        <v>10000000</v>
      </c>
      <c r="E53" s="55">
        <f>10000000-6000000</f>
        <v>4000000</v>
      </c>
      <c r="F53" s="56">
        <f>SUM(423544.81+1409339.77+1909882.59)</f>
        <v>3742767.17</v>
      </c>
      <c r="G53" s="68">
        <v>0</v>
      </c>
      <c r="H53" s="3"/>
      <c r="I53" s="3"/>
      <c r="J53" s="105"/>
    </row>
    <row r="54" spans="1:10" s="29" customFormat="1" x14ac:dyDescent="0.2">
      <c r="A54" s="52"/>
      <c r="B54" s="97">
        <v>3934</v>
      </c>
      <c r="C54" s="135" t="s">
        <v>125</v>
      </c>
      <c r="D54" s="91">
        <v>0</v>
      </c>
      <c r="E54" s="91">
        <v>6000000</v>
      </c>
      <c r="F54" s="92">
        <v>6000000</v>
      </c>
      <c r="G54" s="68"/>
      <c r="H54" s="3"/>
      <c r="I54" s="3"/>
      <c r="J54" s="105"/>
    </row>
    <row r="55" spans="1:10" s="29" customFormat="1" x14ac:dyDescent="0.2">
      <c r="A55" s="52"/>
      <c r="B55" s="95"/>
      <c r="C55" s="143" t="s">
        <v>129</v>
      </c>
      <c r="D55" s="64">
        <v>0</v>
      </c>
      <c r="E55" s="64">
        <v>5960000</v>
      </c>
      <c r="F55" s="102">
        <f>SUM(4577600)</f>
        <v>4577600</v>
      </c>
      <c r="G55" s="68"/>
      <c r="H55" s="3"/>
      <c r="I55" s="3"/>
      <c r="J55" s="105"/>
    </row>
    <row r="56" spans="1:10" s="29" customFormat="1" x14ac:dyDescent="0.2">
      <c r="A56" s="52"/>
      <c r="B56" s="95">
        <v>6875</v>
      </c>
      <c r="C56" s="143" t="s">
        <v>81</v>
      </c>
      <c r="D56" s="64">
        <v>0</v>
      </c>
      <c r="E56" s="64">
        <v>13515000</v>
      </c>
      <c r="F56" s="92">
        <f>SUM(13515000)</f>
        <v>13515000</v>
      </c>
      <c r="G56" s="68"/>
      <c r="H56" s="3"/>
      <c r="I56" s="3"/>
      <c r="J56" s="105"/>
    </row>
    <row r="57" spans="1:10" s="29" customFormat="1" ht="13.5" thickBot="1" x14ac:dyDescent="0.25">
      <c r="A57" s="52"/>
      <c r="B57" s="98"/>
      <c r="C57" s="141" t="s">
        <v>130</v>
      </c>
      <c r="D57" s="82">
        <v>0</v>
      </c>
      <c r="E57" s="82">
        <v>5500000</v>
      </c>
      <c r="F57" s="83">
        <v>5500000</v>
      </c>
      <c r="G57" s="68">
        <v>0</v>
      </c>
      <c r="H57" s="3"/>
      <c r="I57" s="3"/>
      <c r="J57" s="105"/>
    </row>
    <row r="58" spans="1:10" s="29" customFormat="1" ht="14.25" thickTop="1" thickBot="1" x14ac:dyDescent="0.25">
      <c r="A58" s="52"/>
      <c r="B58" s="184"/>
      <c r="C58" s="148" t="s">
        <v>17</v>
      </c>
      <c r="D58" s="39">
        <f>SUM(D53)</f>
        <v>10000000</v>
      </c>
      <c r="E58" s="39">
        <f>SUM(E53:E57)</f>
        <v>34975000</v>
      </c>
      <c r="F58" s="39">
        <f>SUM(F53:F57)</f>
        <v>33335367.170000002</v>
      </c>
      <c r="G58" s="68"/>
      <c r="H58" s="3"/>
      <c r="I58" s="3"/>
      <c r="J58" s="105"/>
    </row>
    <row r="59" spans="1:10" s="29" customFormat="1" ht="13.5" thickBot="1" x14ac:dyDescent="0.25">
      <c r="A59" s="59"/>
      <c r="B59" s="182"/>
      <c r="C59" s="171" t="s">
        <v>9</v>
      </c>
      <c r="D59" s="169">
        <f>SUM(D58)</f>
        <v>10000000</v>
      </c>
      <c r="E59" s="169">
        <f>SUM(E48+E50+E52+E58)</f>
        <v>37501000</v>
      </c>
      <c r="F59" s="169">
        <f>SUM(F48+F50+F52+F58)</f>
        <v>35860783.640000001</v>
      </c>
      <c r="G59" s="68"/>
      <c r="H59" s="3"/>
      <c r="I59" s="3"/>
      <c r="J59" s="105"/>
    </row>
    <row r="60" spans="1:10" s="29" customFormat="1" ht="13.5" thickBot="1" x14ac:dyDescent="0.25">
      <c r="A60" s="52" t="s">
        <v>24</v>
      </c>
      <c r="B60" s="4">
        <v>6865</v>
      </c>
      <c r="C60" s="149" t="s">
        <v>25</v>
      </c>
      <c r="D60" s="38">
        <v>5000000</v>
      </c>
      <c r="E60" s="38">
        <v>5000000</v>
      </c>
      <c r="F60" s="57">
        <f>SUM(187103.07+145035.03+890967+690643+182650.86+869766+1317206+102067.62+614561.42)</f>
        <v>5000000</v>
      </c>
      <c r="G60" s="68">
        <v>0</v>
      </c>
      <c r="H60" s="3" t="s">
        <v>119</v>
      </c>
      <c r="I60" s="3"/>
      <c r="J60" s="105"/>
    </row>
    <row r="61" spans="1:10" s="29" customFormat="1" ht="14.25" thickTop="1" thickBot="1" x14ac:dyDescent="0.25">
      <c r="A61" s="52"/>
      <c r="B61" s="187"/>
      <c r="C61" s="150" t="s">
        <v>17</v>
      </c>
      <c r="D61" s="40">
        <f t="shared" ref="D61:F62" si="0">SUM(D60)</f>
        <v>5000000</v>
      </c>
      <c r="E61" s="40">
        <f t="shared" si="0"/>
        <v>5000000</v>
      </c>
      <c r="F61" s="51">
        <f t="shared" si="0"/>
        <v>5000000</v>
      </c>
      <c r="G61" s="68">
        <v>0</v>
      </c>
      <c r="H61" s="3"/>
      <c r="I61" s="3"/>
      <c r="J61" s="105"/>
    </row>
    <row r="62" spans="1:10" s="29" customFormat="1" ht="13.5" thickBot="1" x14ac:dyDescent="0.25">
      <c r="A62" s="59"/>
      <c r="B62" s="188"/>
      <c r="C62" s="167" t="s">
        <v>9</v>
      </c>
      <c r="D62" s="169">
        <f t="shared" si="0"/>
        <v>5000000</v>
      </c>
      <c r="E62" s="169">
        <f t="shared" si="0"/>
        <v>5000000</v>
      </c>
      <c r="F62" s="170">
        <f t="shared" si="0"/>
        <v>5000000</v>
      </c>
      <c r="G62" s="68"/>
      <c r="H62" s="3"/>
      <c r="I62" s="3"/>
      <c r="J62" s="105"/>
    </row>
    <row r="63" spans="1:10" s="29" customFormat="1" ht="13.5" thickBot="1" x14ac:dyDescent="0.25">
      <c r="A63" s="52" t="s">
        <v>51</v>
      </c>
      <c r="B63" s="4"/>
      <c r="C63" s="151" t="s">
        <v>114</v>
      </c>
      <c r="D63" s="38">
        <v>0</v>
      </c>
      <c r="E63" s="38">
        <v>158000</v>
      </c>
      <c r="F63" s="57">
        <v>158000</v>
      </c>
      <c r="G63" s="68"/>
      <c r="H63" s="3"/>
      <c r="I63" s="3"/>
      <c r="J63" s="105"/>
    </row>
    <row r="64" spans="1:10" s="29" customFormat="1" ht="14.25" thickTop="1" thickBot="1" x14ac:dyDescent="0.25">
      <c r="A64" s="52"/>
      <c r="B64" s="189"/>
      <c r="C64" s="140" t="s">
        <v>12</v>
      </c>
      <c r="D64" s="41">
        <v>0</v>
      </c>
      <c r="E64" s="41">
        <f>SUM(E63)</f>
        <v>158000</v>
      </c>
      <c r="F64" s="86">
        <f>SUM(F63)</f>
        <v>158000</v>
      </c>
      <c r="G64" s="68"/>
      <c r="H64" s="3"/>
      <c r="I64" s="3"/>
      <c r="J64" s="105"/>
    </row>
    <row r="65" spans="1:10" s="29" customFormat="1" x14ac:dyDescent="0.2">
      <c r="A65" s="52"/>
      <c r="B65" s="78"/>
      <c r="C65" s="138" t="s">
        <v>52</v>
      </c>
      <c r="D65" s="79">
        <v>0</v>
      </c>
      <c r="E65" s="79">
        <v>70000</v>
      </c>
      <c r="F65" s="80">
        <v>69258</v>
      </c>
      <c r="G65" s="68"/>
      <c r="H65" s="3"/>
      <c r="I65" s="3"/>
      <c r="J65" s="105"/>
    </row>
    <row r="66" spans="1:10" s="29" customFormat="1" ht="13.5" thickBot="1" x14ac:dyDescent="0.25">
      <c r="A66" s="52"/>
      <c r="B66" s="81"/>
      <c r="C66" s="141" t="s">
        <v>77</v>
      </c>
      <c r="D66" s="82">
        <v>0</v>
      </c>
      <c r="E66" s="82">
        <v>2500000</v>
      </c>
      <c r="F66" s="83">
        <f>SUM(1194342.6+1234768.7+70888.7)</f>
        <v>2500000</v>
      </c>
      <c r="G66" s="68"/>
      <c r="H66" s="3"/>
      <c r="I66" s="3"/>
      <c r="J66" s="105"/>
    </row>
    <row r="67" spans="1:10" s="29" customFormat="1" ht="14.25" thickTop="1" thickBot="1" x14ac:dyDescent="0.25">
      <c r="A67" s="52"/>
      <c r="B67" s="190"/>
      <c r="C67" s="137" t="s">
        <v>17</v>
      </c>
      <c r="D67" s="39">
        <v>0</v>
      </c>
      <c r="E67" s="39">
        <f>SUM(E65:E66)</f>
        <v>2570000</v>
      </c>
      <c r="F67" s="50">
        <f>SUM(F65:F66)</f>
        <v>2569258</v>
      </c>
      <c r="G67" s="68"/>
      <c r="H67" s="3"/>
      <c r="I67" s="3"/>
      <c r="J67" s="105"/>
    </row>
    <row r="68" spans="1:10" s="29" customFormat="1" ht="13.5" thickBot="1" x14ac:dyDescent="0.25">
      <c r="A68" s="52"/>
      <c r="B68" s="4"/>
      <c r="C68" s="139" t="s">
        <v>117</v>
      </c>
      <c r="D68" s="38">
        <v>0</v>
      </c>
      <c r="E68" s="38">
        <v>21000</v>
      </c>
      <c r="F68" s="57">
        <v>20410</v>
      </c>
      <c r="G68" s="68"/>
      <c r="H68" s="3"/>
      <c r="I68" s="3"/>
      <c r="J68" s="105"/>
    </row>
    <row r="69" spans="1:10" s="29" customFormat="1" ht="14.25" thickTop="1" thickBot="1" x14ac:dyDescent="0.25">
      <c r="A69" s="52"/>
      <c r="B69" s="190"/>
      <c r="C69" s="137" t="s">
        <v>101</v>
      </c>
      <c r="D69" s="39">
        <v>0</v>
      </c>
      <c r="E69" s="39">
        <v>21000</v>
      </c>
      <c r="F69" s="50">
        <f>SUM(F68)</f>
        <v>20410</v>
      </c>
      <c r="G69" s="68"/>
      <c r="H69" s="3"/>
      <c r="I69" s="3"/>
      <c r="J69" s="105"/>
    </row>
    <row r="70" spans="1:10" s="29" customFormat="1" ht="13.5" thickBot="1" x14ac:dyDescent="0.25">
      <c r="A70" s="52"/>
      <c r="B70" s="191"/>
      <c r="C70" s="172" t="s">
        <v>9</v>
      </c>
      <c r="D70" s="173">
        <v>0</v>
      </c>
      <c r="E70" s="173">
        <f>SUM(E64+E67+E69)</f>
        <v>2749000</v>
      </c>
      <c r="F70" s="173">
        <f>SUM(F64+F67+F69)</f>
        <v>2747668</v>
      </c>
      <c r="G70" s="68"/>
      <c r="H70" s="3"/>
      <c r="I70" s="3"/>
      <c r="J70" s="105"/>
    </row>
    <row r="71" spans="1:10" s="29" customFormat="1" x14ac:dyDescent="0.2">
      <c r="A71" s="54" t="s">
        <v>35</v>
      </c>
      <c r="B71" s="101">
        <v>8755</v>
      </c>
      <c r="C71" s="138" t="s">
        <v>103</v>
      </c>
      <c r="D71" s="79">
        <v>0</v>
      </c>
      <c r="E71" s="79">
        <f>3132000-1126000</f>
        <v>2006000</v>
      </c>
      <c r="F71" s="80">
        <f>SUM(1532229.74+1599770.26-1126495.33)</f>
        <v>2005504.67</v>
      </c>
      <c r="G71" s="68">
        <v>1532229.74</v>
      </c>
      <c r="H71" s="3"/>
      <c r="I71" s="3"/>
      <c r="J71" s="105"/>
    </row>
    <row r="72" spans="1:10" s="29" customFormat="1" ht="13.5" thickBot="1" x14ac:dyDescent="0.25">
      <c r="A72" s="52"/>
      <c r="B72" s="98">
        <v>8756</v>
      </c>
      <c r="C72" s="141" t="s">
        <v>104</v>
      </c>
      <c r="D72" s="82">
        <v>0</v>
      </c>
      <c r="E72" s="82">
        <f>5859000-2633000</f>
        <v>3226000</v>
      </c>
      <c r="F72" s="83">
        <f>SUM(2649462.72+2332604.13+34432.81+842500.34-2633135.48)</f>
        <v>3225864.5199999991</v>
      </c>
      <c r="G72" s="68"/>
      <c r="H72" s="68"/>
      <c r="I72" s="3"/>
      <c r="J72" s="105"/>
    </row>
    <row r="73" spans="1:10" s="29" customFormat="1" ht="14.25" thickTop="1" thickBot="1" x14ac:dyDescent="0.25">
      <c r="A73" s="52"/>
      <c r="B73" s="186"/>
      <c r="C73" s="140" t="s">
        <v>12</v>
      </c>
      <c r="D73" s="41">
        <v>0</v>
      </c>
      <c r="E73" s="41">
        <f>SUM(E71:E72)</f>
        <v>5232000</v>
      </c>
      <c r="F73" s="86">
        <f>SUM(F71:F72)</f>
        <v>5231369.1899999995</v>
      </c>
      <c r="G73" s="68"/>
      <c r="H73" s="3"/>
      <c r="I73" s="3"/>
      <c r="J73" s="105"/>
    </row>
    <row r="74" spans="1:10" s="29" customFormat="1" ht="13.5" thickBot="1" x14ac:dyDescent="0.25">
      <c r="A74" s="52"/>
      <c r="B74" s="93">
        <v>3922</v>
      </c>
      <c r="C74" s="139" t="s">
        <v>36</v>
      </c>
      <c r="D74" s="38">
        <v>0</v>
      </c>
      <c r="E74" s="38">
        <v>257000</v>
      </c>
      <c r="F74" s="57">
        <v>257000</v>
      </c>
      <c r="G74" s="68"/>
      <c r="H74" s="3"/>
      <c r="I74" s="3"/>
      <c r="J74" s="105"/>
    </row>
    <row r="75" spans="1:10" s="29" customFormat="1" ht="14.25" thickTop="1" thickBot="1" x14ac:dyDescent="0.25">
      <c r="A75" s="52"/>
      <c r="B75" s="184"/>
      <c r="C75" s="137" t="s">
        <v>17</v>
      </c>
      <c r="D75" s="39">
        <v>0</v>
      </c>
      <c r="E75" s="39">
        <f>SUM(E74)</f>
        <v>257000</v>
      </c>
      <c r="F75" s="50">
        <f>SUM(F74)</f>
        <v>257000</v>
      </c>
      <c r="G75" s="68"/>
      <c r="H75" s="3"/>
      <c r="I75" s="3"/>
      <c r="J75" s="105"/>
    </row>
    <row r="76" spans="1:10" s="29" customFormat="1" ht="13.5" thickBot="1" x14ac:dyDescent="0.25">
      <c r="A76" s="59"/>
      <c r="B76" s="182"/>
      <c r="C76" s="167" t="s">
        <v>9</v>
      </c>
      <c r="D76" s="169">
        <v>0</v>
      </c>
      <c r="E76" s="169">
        <f>SUM(E73+E75)</f>
        <v>5489000</v>
      </c>
      <c r="F76" s="169">
        <f>SUM(F73+F75)</f>
        <v>5488369.1899999995</v>
      </c>
      <c r="G76" s="68"/>
      <c r="H76" s="3"/>
      <c r="I76" s="3"/>
      <c r="J76" s="105"/>
    </row>
    <row r="77" spans="1:10" s="29" customFormat="1" x14ac:dyDescent="0.2">
      <c r="G77" s="68"/>
      <c r="H77" s="3"/>
      <c r="I77" s="3"/>
      <c r="J77" s="105"/>
    </row>
    <row r="78" spans="1:10" s="29" customFormat="1" x14ac:dyDescent="0.2">
      <c r="A78" s="105"/>
      <c r="B78" s="105"/>
      <c r="C78" s="105"/>
      <c r="D78" s="105"/>
      <c r="E78" s="105"/>
      <c r="F78" s="105"/>
      <c r="G78" s="68"/>
      <c r="H78" s="3"/>
      <c r="I78" s="3"/>
      <c r="J78" s="105"/>
    </row>
    <row r="79" spans="1:10" s="29" customFormat="1" x14ac:dyDescent="0.2">
      <c r="A79" s="105"/>
      <c r="B79" s="105"/>
      <c r="C79" s="105"/>
      <c r="D79" s="105"/>
      <c r="E79" s="105"/>
      <c r="F79" s="105"/>
      <c r="G79" s="68"/>
      <c r="H79" s="3"/>
      <c r="I79" s="3"/>
      <c r="J79" s="105"/>
    </row>
    <row r="80" spans="1:10" s="29" customFormat="1" x14ac:dyDescent="0.2">
      <c r="A80" s="105"/>
      <c r="B80" s="105"/>
      <c r="C80" s="105"/>
      <c r="D80" s="105"/>
      <c r="E80" s="105"/>
      <c r="F80" s="105"/>
      <c r="G80" s="68"/>
      <c r="H80" s="3"/>
      <c r="I80" s="3"/>
      <c r="J80" s="105"/>
    </row>
    <row r="81" spans="1:10" s="29" customFormat="1" ht="13.5" thickBot="1" x14ac:dyDescent="0.25">
      <c r="A81" s="105"/>
      <c r="B81" s="105"/>
      <c r="C81" s="105"/>
      <c r="D81" s="105"/>
      <c r="E81" s="105"/>
      <c r="F81" s="105"/>
      <c r="G81" s="68"/>
      <c r="H81" s="3"/>
      <c r="I81" s="3"/>
      <c r="J81" s="105"/>
    </row>
    <row r="82" spans="1:10" s="203" customFormat="1" x14ac:dyDescent="0.2">
      <c r="A82" s="195" t="s">
        <v>0</v>
      </c>
      <c r="B82" s="198" t="s">
        <v>1</v>
      </c>
      <c r="C82" s="199" t="s">
        <v>2</v>
      </c>
      <c r="D82" s="198" t="s">
        <v>3</v>
      </c>
      <c r="E82" s="198" t="s">
        <v>4</v>
      </c>
      <c r="F82" s="200" t="s">
        <v>11</v>
      </c>
      <c r="G82" s="201"/>
      <c r="H82" s="202"/>
      <c r="I82" s="202"/>
      <c r="J82" s="201"/>
    </row>
    <row r="83" spans="1:10" s="203" customFormat="1" ht="13.5" thickBot="1" x14ac:dyDescent="0.25">
      <c r="A83" s="196"/>
      <c r="B83" s="204"/>
      <c r="C83" s="205"/>
      <c r="D83" s="204"/>
      <c r="E83" s="204"/>
      <c r="F83" s="206"/>
      <c r="G83" s="201"/>
      <c r="H83" s="202"/>
      <c r="I83" s="202"/>
      <c r="J83" s="201"/>
    </row>
    <row r="84" spans="1:10" s="29" customFormat="1" x14ac:dyDescent="0.2">
      <c r="A84" s="52" t="s">
        <v>53</v>
      </c>
      <c r="B84" s="101">
        <v>6870</v>
      </c>
      <c r="C84" s="138" t="s">
        <v>82</v>
      </c>
      <c r="D84" s="79">
        <v>0</v>
      </c>
      <c r="E84" s="79">
        <f>2238000-856000-902000-135000</f>
        <v>345000</v>
      </c>
      <c r="F84" s="80">
        <f>SUM(1187558+26620+1023324.18-855502.2-902411.1-134656.59)</f>
        <v>344932.29000000027</v>
      </c>
      <c r="G84" s="124">
        <v>855502.18</v>
      </c>
      <c r="H84" s="68">
        <f>SUM(F84-G84)</f>
        <v>-510569.88999999978</v>
      </c>
      <c r="I84" s="3"/>
      <c r="J84" s="105"/>
    </row>
    <row r="85" spans="1:10" s="29" customFormat="1" x14ac:dyDescent="0.2">
      <c r="A85" s="52"/>
      <c r="B85" s="96">
        <v>6871</v>
      </c>
      <c r="C85" s="136" t="s">
        <v>83</v>
      </c>
      <c r="D85" s="61">
        <v>0</v>
      </c>
      <c r="E85" s="61">
        <f>1620000-108000-720000</f>
        <v>792000</v>
      </c>
      <c r="F85" s="62">
        <f>1620000-108236.83-720391.37</f>
        <v>791371.79999999993</v>
      </c>
      <c r="G85" s="124"/>
      <c r="H85" s="3">
        <f>2238-856</f>
        <v>1382</v>
      </c>
      <c r="I85" s="3"/>
      <c r="J85" s="105"/>
    </row>
    <row r="86" spans="1:10" s="29" customFormat="1" x14ac:dyDescent="0.2">
      <c r="A86" s="52"/>
      <c r="B86" s="97">
        <v>6872</v>
      </c>
      <c r="C86" s="135" t="s">
        <v>84</v>
      </c>
      <c r="D86" s="91">
        <v>0</v>
      </c>
      <c r="E86" s="91">
        <f>6668000-4243000-16000</f>
        <v>2409000</v>
      </c>
      <c r="F86" s="92">
        <f>SUM(2508934+3195221.98-4242604.5-16335)</f>
        <v>1445216.4800000004</v>
      </c>
      <c r="G86" s="124"/>
      <c r="H86" s="3"/>
      <c r="I86" s="3"/>
      <c r="J86" s="105"/>
    </row>
    <row r="87" spans="1:10" s="29" customFormat="1" x14ac:dyDescent="0.2">
      <c r="A87" s="52"/>
      <c r="B87" s="95">
        <v>6873</v>
      </c>
      <c r="C87" s="143" t="s">
        <v>85</v>
      </c>
      <c r="D87" s="64">
        <v>0</v>
      </c>
      <c r="E87" s="64">
        <f>4597000-2467000</f>
        <v>2130000</v>
      </c>
      <c r="F87" s="67">
        <f>SUM(3021095+1308032.58-2466560.59)</f>
        <v>1862566.9900000002</v>
      </c>
      <c r="G87" s="124"/>
      <c r="H87" s="3"/>
      <c r="I87" s="3"/>
      <c r="J87" s="105"/>
    </row>
    <row r="88" spans="1:10" s="29" customFormat="1" ht="13.5" thickBot="1" x14ac:dyDescent="0.25">
      <c r="A88" s="52"/>
      <c r="B88" s="81">
        <v>8753</v>
      </c>
      <c r="C88" s="141" t="s">
        <v>102</v>
      </c>
      <c r="D88" s="82">
        <v>0</v>
      </c>
      <c r="E88" s="82">
        <f>3164000-1385000</f>
        <v>1779000</v>
      </c>
      <c r="F88" s="83">
        <f>SUM(1615796.05-1384870.18)</f>
        <v>230925.87000000011</v>
      </c>
      <c r="G88" s="68"/>
      <c r="H88" s="3"/>
      <c r="I88" s="3"/>
      <c r="J88" s="105"/>
    </row>
    <row r="89" spans="1:10" s="29" customFormat="1" ht="14.25" thickTop="1" thickBot="1" x14ac:dyDescent="0.25">
      <c r="A89" s="52"/>
      <c r="B89" s="187"/>
      <c r="C89" s="146" t="s">
        <v>12</v>
      </c>
      <c r="D89" s="40">
        <v>0</v>
      </c>
      <c r="E89" s="40">
        <f>SUM(E84:E88)</f>
        <v>7455000</v>
      </c>
      <c r="F89" s="51">
        <f>SUM(F84:F88)</f>
        <v>4675013.4300000006</v>
      </c>
      <c r="G89" s="68"/>
      <c r="H89" s="3"/>
      <c r="I89" s="3"/>
      <c r="J89" s="105"/>
    </row>
    <row r="90" spans="1:10" s="29" customFormat="1" ht="13.5" thickBot="1" x14ac:dyDescent="0.25">
      <c r="A90" s="52"/>
      <c r="B90" s="117"/>
      <c r="C90" s="147" t="s">
        <v>54</v>
      </c>
      <c r="D90" s="48">
        <v>0</v>
      </c>
      <c r="E90" s="48">
        <f>150000-134000</f>
        <v>16000</v>
      </c>
      <c r="F90" s="49">
        <f>150000-134558.1</f>
        <v>15441.899999999994</v>
      </c>
      <c r="G90" s="68"/>
      <c r="H90" s="3"/>
      <c r="I90" s="3"/>
      <c r="J90" s="105"/>
    </row>
    <row r="91" spans="1:10" s="29" customFormat="1" ht="14.25" thickTop="1" thickBot="1" x14ac:dyDescent="0.25">
      <c r="A91" s="52"/>
      <c r="B91" s="180"/>
      <c r="C91" s="146" t="s">
        <v>55</v>
      </c>
      <c r="D91" s="40">
        <v>0</v>
      </c>
      <c r="E91" s="40">
        <f>SUM(E90)</f>
        <v>16000</v>
      </c>
      <c r="F91" s="51">
        <f>SUM(F90)</f>
        <v>15441.899999999994</v>
      </c>
      <c r="G91" s="68"/>
      <c r="H91" s="3"/>
      <c r="I91" s="3"/>
      <c r="J91" s="105"/>
    </row>
    <row r="92" spans="1:10" s="109" customFormat="1" ht="13.5" thickBot="1" x14ac:dyDescent="0.25">
      <c r="A92" s="108"/>
      <c r="B92" s="4">
        <v>6868</v>
      </c>
      <c r="C92" s="139" t="s">
        <v>88</v>
      </c>
      <c r="D92" s="38">
        <v>0</v>
      </c>
      <c r="E92" s="38">
        <v>2450000</v>
      </c>
      <c r="F92" s="57">
        <v>2450000</v>
      </c>
      <c r="G92" s="121"/>
      <c r="H92" s="1"/>
      <c r="I92" s="1"/>
      <c r="J92" s="105"/>
    </row>
    <row r="93" spans="1:10" s="29" customFormat="1" ht="14.25" thickTop="1" thickBot="1" x14ac:dyDescent="0.25">
      <c r="A93" s="52"/>
      <c r="B93" s="180"/>
      <c r="C93" s="146" t="s">
        <v>17</v>
      </c>
      <c r="D93" s="40">
        <v>0</v>
      </c>
      <c r="E93" s="40">
        <f>SUM(E92)</f>
        <v>2450000</v>
      </c>
      <c r="F93" s="51">
        <f>SUM(F92)</f>
        <v>2450000</v>
      </c>
      <c r="G93" s="68"/>
      <c r="H93" s="3"/>
      <c r="I93" s="3"/>
      <c r="J93" s="105"/>
    </row>
    <row r="94" spans="1:10" s="29" customFormat="1" ht="13.5" thickBot="1" x14ac:dyDescent="0.25">
      <c r="A94" s="59"/>
      <c r="B94" s="182"/>
      <c r="C94" s="167" t="s">
        <v>9</v>
      </c>
      <c r="D94" s="169">
        <v>0</v>
      </c>
      <c r="E94" s="169">
        <f>SUM(E89+E91+E93)</f>
        <v>9921000</v>
      </c>
      <c r="F94" s="169">
        <f>SUM(F89+F91+F93)</f>
        <v>7140455.330000001</v>
      </c>
      <c r="G94" s="68"/>
      <c r="H94" s="3"/>
      <c r="I94" s="3"/>
      <c r="J94" s="105"/>
    </row>
    <row r="95" spans="1:10" s="29" customFormat="1" x14ac:dyDescent="0.2">
      <c r="A95" s="52" t="s">
        <v>8</v>
      </c>
      <c r="B95" s="192">
        <v>3913</v>
      </c>
      <c r="C95" s="138" t="s">
        <v>131</v>
      </c>
      <c r="D95" s="79">
        <v>0</v>
      </c>
      <c r="E95" s="79">
        <f>2600000-2600000</f>
        <v>0</v>
      </c>
      <c r="F95" s="80">
        <v>0</v>
      </c>
      <c r="G95" s="68"/>
      <c r="H95" s="3"/>
      <c r="I95" s="3"/>
      <c r="J95" s="105"/>
    </row>
    <row r="96" spans="1:10" s="29" customFormat="1" ht="13.5" thickBot="1" x14ac:dyDescent="0.25">
      <c r="A96" s="52"/>
      <c r="B96" s="81">
        <v>6874</v>
      </c>
      <c r="C96" s="141" t="s">
        <v>91</v>
      </c>
      <c r="D96" s="82">
        <v>0</v>
      </c>
      <c r="E96" s="82">
        <v>301000</v>
      </c>
      <c r="F96" s="83">
        <f>SUM(165770+135230)</f>
        <v>301000</v>
      </c>
      <c r="G96" s="68"/>
      <c r="H96" s="3"/>
      <c r="I96" s="3"/>
      <c r="J96" s="105"/>
    </row>
    <row r="97" spans="1:10" s="29" customFormat="1" ht="14.25" thickTop="1" thickBot="1" x14ac:dyDescent="0.25">
      <c r="A97" s="52"/>
      <c r="B97" s="187"/>
      <c r="C97" s="146" t="s">
        <v>12</v>
      </c>
      <c r="D97" s="40">
        <v>0</v>
      </c>
      <c r="E97" s="40">
        <f>SUM(E95:E96)</f>
        <v>301000</v>
      </c>
      <c r="F97" s="51">
        <f>SUM(F95:F96)</f>
        <v>301000</v>
      </c>
      <c r="G97" s="68"/>
      <c r="H97" s="3"/>
      <c r="I97" s="3"/>
      <c r="J97" s="105"/>
    </row>
    <row r="98" spans="1:10" s="29" customFormat="1" x14ac:dyDescent="0.2">
      <c r="A98" s="52"/>
      <c r="B98" s="97">
        <v>8739</v>
      </c>
      <c r="C98" s="135" t="s">
        <v>27</v>
      </c>
      <c r="D98" s="91">
        <v>4000000</v>
      </c>
      <c r="E98" s="91">
        <v>4000000</v>
      </c>
      <c r="F98" s="92">
        <f>SUM(2517296.09+1477862.19+4841.72)</f>
        <v>4000000</v>
      </c>
      <c r="G98" s="68"/>
      <c r="H98" s="3"/>
      <c r="I98" s="3"/>
      <c r="J98" s="105"/>
    </row>
    <row r="99" spans="1:10" s="29" customFormat="1" x14ac:dyDescent="0.2">
      <c r="A99" s="52"/>
      <c r="B99" s="107">
        <v>3913</v>
      </c>
      <c r="C99" s="143" t="s">
        <v>131</v>
      </c>
      <c r="D99" s="64">
        <v>0</v>
      </c>
      <c r="E99" s="64">
        <v>2600000</v>
      </c>
      <c r="F99" s="67">
        <f>SUM(1541007.37+713559.95+345261.4)</f>
        <v>2599828.7200000002</v>
      </c>
      <c r="G99" s="68"/>
      <c r="H99" s="3"/>
      <c r="I99" s="3"/>
      <c r="J99" s="105"/>
    </row>
    <row r="100" spans="1:10" s="29" customFormat="1" x14ac:dyDescent="0.2">
      <c r="A100" s="52"/>
      <c r="B100" s="60">
        <v>6874</v>
      </c>
      <c r="C100" s="136" t="s">
        <v>91</v>
      </c>
      <c r="D100" s="61">
        <v>0</v>
      </c>
      <c r="E100" s="61">
        <v>619000</v>
      </c>
      <c r="F100" s="62">
        <f>SUM(94670+520300)</f>
        <v>614970</v>
      </c>
      <c r="G100" s="68"/>
      <c r="H100" s="3"/>
      <c r="I100" s="3"/>
      <c r="J100" s="105"/>
    </row>
    <row r="101" spans="1:10" s="29" customFormat="1" x14ac:dyDescent="0.2">
      <c r="A101" s="52"/>
      <c r="B101" s="97">
        <v>3927</v>
      </c>
      <c r="C101" s="135" t="s">
        <v>92</v>
      </c>
      <c r="D101" s="91">
        <v>0</v>
      </c>
      <c r="E101" s="91">
        <v>1400000</v>
      </c>
      <c r="F101" s="92">
        <f>SUM(916755.85+439942.25+43076)</f>
        <v>1399774.1</v>
      </c>
      <c r="G101" s="68"/>
      <c r="H101" s="3"/>
      <c r="I101" s="3"/>
      <c r="J101" s="105"/>
    </row>
    <row r="102" spans="1:10" s="29" customFormat="1" ht="13.5" thickBot="1" x14ac:dyDescent="0.25">
      <c r="A102" s="52"/>
      <c r="B102" s="81">
        <v>8752</v>
      </c>
      <c r="C102" s="141" t="s">
        <v>116</v>
      </c>
      <c r="D102" s="82">
        <v>0</v>
      </c>
      <c r="E102" s="82">
        <v>200000</v>
      </c>
      <c r="F102" s="83">
        <v>199989.41</v>
      </c>
      <c r="G102" s="68"/>
      <c r="H102" s="3"/>
      <c r="I102" s="3"/>
      <c r="J102" s="105"/>
    </row>
    <row r="103" spans="1:10" s="29" customFormat="1" ht="14.25" thickTop="1" thickBot="1" x14ac:dyDescent="0.25">
      <c r="A103" s="52"/>
      <c r="B103" s="184"/>
      <c r="C103" s="137" t="s">
        <v>17</v>
      </c>
      <c r="D103" s="39">
        <f>SUM(D98)</f>
        <v>4000000</v>
      </c>
      <c r="E103" s="39">
        <f>SUM(E98:E102)</f>
        <v>8819000</v>
      </c>
      <c r="F103" s="39">
        <f>SUM(F98:F102)</f>
        <v>8814562.2300000004</v>
      </c>
      <c r="G103" s="68"/>
      <c r="H103" s="3"/>
      <c r="I103" s="3"/>
      <c r="J103" s="105"/>
    </row>
    <row r="104" spans="1:10" s="29" customFormat="1" ht="13.5" thickBot="1" x14ac:dyDescent="0.25">
      <c r="A104" s="59"/>
      <c r="B104" s="182"/>
      <c r="C104" s="167" t="s">
        <v>9</v>
      </c>
      <c r="D104" s="169">
        <f>SUM(D103)</f>
        <v>4000000</v>
      </c>
      <c r="E104" s="169">
        <f>SUM(E103,E97)</f>
        <v>9120000</v>
      </c>
      <c r="F104" s="169">
        <f>SUM(F103,F97)</f>
        <v>9115562.2300000004</v>
      </c>
      <c r="G104" s="68"/>
      <c r="H104" s="3"/>
      <c r="I104" s="3"/>
      <c r="J104" s="105"/>
    </row>
    <row r="105" spans="1:10" s="29" customFormat="1" ht="13.5" thickBot="1" x14ac:dyDescent="0.25">
      <c r="A105" s="52" t="s">
        <v>33</v>
      </c>
      <c r="B105" s="4"/>
      <c r="C105" s="139" t="s">
        <v>75</v>
      </c>
      <c r="D105" s="38">
        <v>0</v>
      </c>
      <c r="E105" s="38">
        <v>80000</v>
      </c>
      <c r="F105" s="57">
        <v>80000</v>
      </c>
      <c r="G105" s="68"/>
      <c r="H105" s="3"/>
      <c r="I105" s="3"/>
      <c r="J105" s="105"/>
    </row>
    <row r="106" spans="1:10" s="29" customFormat="1" ht="14.25" thickTop="1" thickBot="1" x14ac:dyDescent="0.25">
      <c r="A106" s="52"/>
      <c r="B106" s="190"/>
      <c r="C106" s="137" t="s">
        <v>49</v>
      </c>
      <c r="D106" s="39">
        <v>0</v>
      </c>
      <c r="E106" s="39">
        <f>SUM(E105:E105)</f>
        <v>80000</v>
      </c>
      <c r="F106" s="50">
        <f>SUM(F105)</f>
        <v>80000</v>
      </c>
      <c r="G106" s="68"/>
      <c r="H106" s="3"/>
      <c r="I106" s="3"/>
      <c r="J106" s="105"/>
    </row>
    <row r="107" spans="1:10" s="29" customFormat="1" ht="13.5" thickBot="1" x14ac:dyDescent="0.25">
      <c r="A107" s="52"/>
      <c r="B107" s="63">
        <v>3932</v>
      </c>
      <c r="C107" s="147" t="s">
        <v>113</v>
      </c>
      <c r="D107" s="48">
        <v>0</v>
      </c>
      <c r="E107" s="48">
        <v>1300000</v>
      </c>
      <c r="F107" s="49">
        <v>0</v>
      </c>
      <c r="G107" s="68"/>
      <c r="H107" s="3"/>
      <c r="I107" s="3"/>
      <c r="J107" s="105"/>
    </row>
    <row r="108" spans="1:10" s="29" customFormat="1" ht="14.25" thickTop="1" thickBot="1" x14ac:dyDescent="0.25">
      <c r="A108" s="52"/>
      <c r="B108" s="186"/>
      <c r="C108" s="140" t="s">
        <v>12</v>
      </c>
      <c r="D108" s="41">
        <v>0</v>
      </c>
      <c r="E108" s="41">
        <v>1300000</v>
      </c>
      <c r="F108" s="86">
        <v>0</v>
      </c>
      <c r="G108" s="68"/>
      <c r="H108" s="3"/>
      <c r="I108" s="3"/>
      <c r="J108" s="105"/>
    </row>
    <row r="109" spans="1:10" s="29" customFormat="1" x14ac:dyDescent="0.2">
      <c r="A109" s="52"/>
      <c r="B109" s="104">
        <v>8749</v>
      </c>
      <c r="C109" s="142" t="s">
        <v>64</v>
      </c>
      <c r="D109" s="55">
        <v>0</v>
      </c>
      <c r="E109" s="55">
        <v>250000</v>
      </c>
      <c r="F109" s="56">
        <f>SUM(121000+119790)</f>
        <v>240790</v>
      </c>
      <c r="G109" s="68">
        <v>9000</v>
      </c>
      <c r="H109" s="3"/>
      <c r="I109" s="3"/>
      <c r="J109" s="105"/>
    </row>
    <row r="110" spans="1:10" s="29" customFormat="1" x14ac:dyDescent="0.2">
      <c r="A110" s="52"/>
      <c r="B110" s="103">
        <v>8749</v>
      </c>
      <c r="C110" s="135" t="s">
        <v>65</v>
      </c>
      <c r="D110" s="91">
        <v>0</v>
      </c>
      <c r="E110" s="91">
        <v>4700000</v>
      </c>
      <c r="F110" s="92">
        <f>SUM(398579.58+1897998+2368415.28)</f>
        <v>4664992.8599999994</v>
      </c>
      <c r="G110" s="68">
        <f>SUM(4700000-4665000)</f>
        <v>35000</v>
      </c>
      <c r="H110" s="68"/>
      <c r="I110" s="3"/>
      <c r="J110" s="105"/>
    </row>
    <row r="111" spans="1:10" s="29" customFormat="1" ht="13.5" thickBot="1" x14ac:dyDescent="0.25">
      <c r="A111" s="52"/>
      <c r="B111" s="81">
        <v>3921</v>
      </c>
      <c r="C111" s="141" t="s">
        <v>34</v>
      </c>
      <c r="D111" s="82">
        <v>0</v>
      </c>
      <c r="E111" s="82">
        <v>3500000</v>
      </c>
      <c r="F111" s="83">
        <v>3498811.07</v>
      </c>
      <c r="G111" s="68"/>
      <c r="H111" s="3"/>
      <c r="I111" s="3"/>
      <c r="J111" s="105"/>
    </row>
    <row r="112" spans="1:10" s="29" customFormat="1" ht="14.25" thickTop="1" thickBot="1" x14ac:dyDescent="0.25">
      <c r="A112" s="52"/>
      <c r="B112" s="187"/>
      <c r="C112" s="146" t="s">
        <v>17</v>
      </c>
      <c r="D112" s="40">
        <v>0</v>
      </c>
      <c r="E112" s="40">
        <f>SUM(E109:E111)</f>
        <v>8450000</v>
      </c>
      <c r="F112" s="40">
        <f>SUM(F109:F111)</f>
        <v>8404593.9299999997</v>
      </c>
      <c r="G112" s="68"/>
      <c r="H112" s="3"/>
      <c r="I112" s="3"/>
      <c r="J112" s="105"/>
    </row>
    <row r="113" spans="1:10" s="29" customFormat="1" ht="13.5" thickBot="1" x14ac:dyDescent="0.25">
      <c r="A113" s="59"/>
      <c r="B113" s="188"/>
      <c r="C113" s="167" t="s">
        <v>9</v>
      </c>
      <c r="D113" s="169">
        <v>0</v>
      </c>
      <c r="E113" s="169">
        <f>SUM(E106+E108+E112)</f>
        <v>9830000</v>
      </c>
      <c r="F113" s="169">
        <f>SUM(F106+F108+F112)</f>
        <v>8484593.9299999997</v>
      </c>
      <c r="G113" s="68"/>
      <c r="H113" s="3"/>
      <c r="I113" s="3"/>
      <c r="J113" s="105"/>
    </row>
    <row r="114" spans="1:10" s="29" customFormat="1" x14ac:dyDescent="0.2">
      <c r="A114" s="52" t="s">
        <v>15</v>
      </c>
      <c r="B114" s="78"/>
      <c r="C114" s="138" t="s">
        <v>67</v>
      </c>
      <c r="D114" s="79">
        <v>0</v>
      </c>
      <c r="E114" s="79">
        <v>60000</v>
      </c>
      <c r="F114" s="80">
        <f>SUM(60494)</f>
        <v>60494</v>
      </c>
      <c r="G114" s="3"/>
      <c r="H114" s="68" t="s">
        <v>68</v>
      </c>
      <c r="I114" s="3" t="s">
        <v>108</v>
      </c>
      <c r="J114" s="105"/>
    </row>
    <row r="115" spans="1:10" s="29" customFormat="1" ht="13.5" thickBot="1" x14ac:dyDescent="0.25">
      <c r="A115" s="52"/>
      <c r="B115" s="81"/>
      <c r="C115" s="141" t="s">
        <v>121</v>
      </c>
      <c r="D115" s="82">
        <v>0</v>
      </c>
      <c r="E115" s="82">
        <v>163000</v>
      </c>
      <c r="F115" s="83">
        <v>162579.22</v>
      </c>
      <c r="G115" s="3"/>
      <c r="H115" s="68"/>
      <c r="I115" s="3"/>
      <c r="J115" s="105"/>
    </row>
    <row r="116" spans="1:10" s="29" customFormat="1" ht="14.25" thickTop="1" thickBot="1" x14ac:dyDescent="0.25">
      <c r="A116" s="52"/>
      <c r="B116" s="187"/>
      <c r="C116" s="146" t="s">
        <v>49</v>
      </c>
      <c r="D116" s="40">
        <v>0</v>
      </c>
      <c r="E116" s="40">
        <f>SUM(E114:E115)</f>
        <v>223000</v>
      </c>
      <c r="F116" s="51">
        <f>SUM(F114:F115)</f>
        <v>223073.22</v>
      </c>
      <c r="G116" s="68"/>
      <c r="H116" s="3"/>
      <c r="I116" s="3"/>
      <c r="J116" s="105"/>
    </row>
    <row r="117" spans="1:10" s="29" customFormat="1" ht="13.5" thickBot="1" x14ac:dyDescent="0.25">
      <c r="A117" s="52"/>
      <c r="B117" s="63">
        <v>8738</v>
      </c>
      <c r="C117" s="147" t="s">
        <v>26</v>
      </c>
      <c r="D117" s="48">
        <v>15000000</v>
      </c>
      <c r="E117" s="48">
        <v>15000000</v>
      </c>
      <c r="F117" s="49">
        <f>SUM(2088655.05+5422758.99+2590136.89+3151916.9+1051198.39+653079.35+42254.43)</f>
        <v>15000000</v>
      </c>
      <c r="G117" s="68"/>
      <c r="H117" s="3"/>
      <c r="I117" s="3"/>
      <c r="J117" s="105"/>
    </row>
    <row r="118" spans="1:10" s="29" customFormat="1" ht="14.25" thickTop="1" thickBot="1" x14ac:dyDescent="0.25">
      <c r="A118" s="52"/>
      <c r="B118" s="190"/>
      <c r="C118" s="137" t="s">
        <v>17</v>
      </c>
      <c r="D118" s="39">
        <f t="shared" ref="D118:F119" si="1">SUM(D117)</f>
        <v>15000000</v>
      </c>
      <c r="E118" s="39">
        <f t="shared" si="1"/>
        <v>15000000</v>
      </c>
      <c r="F118" s="50">
        <f t="shared" si="1"/>
        <v>15000000</v>
      </c>
      <c r="G118" s="68"/>
      <c r="H118" s="3"/>
      <c r="I118" s="3"/>
      <c r="J118" s="105"/>
    </row>
    <row r="119" spans="1:10" s="29" customFormat="1" ht="13.5" thickBot="1" x14ac:dyDescent="0.25">
      <c r="A119" s="59"/>
      <c r="B119" s="182"/>
      <c r="C119" s="167" t="s">
        <v>9</v>
      </c>
      <c r="D119" s="169">
        <f t="shared" si="1"/>
        <v>15000000</v>
      </c>
      <c r="E119" s="169">
        <f>SUM(E116+E118)</f>
        <v>15223000</v>
      </c>
      <c r="F119" s="170">
        <f>SUM(F118,F116)</f>
        <v>15223073.220000001</v>
      </c>
      <c r="G119" s="68"/>
      <c r="H119" s="3"/>
      <c r="I119" s="3"/>
      <c r="J119" s="105"/>
    </row>
    <row r="120" spans="1:10" s="29" customFormat="1" ht="13.5" thickBot="1" x14ac:dyDescent="0.25">
      <c r="A120" s="54" t="s">
        <v>37</v>
      </c>
      <c r="B120" s="4"/>
      <c r="C120" s="139" t="s">
        <v>38</v>
      </c>
      <c r="D120" s="38">
        <v>0</v>
      </c>
      <c r="E120" s="38">
        <v>363000</v>
      </c>
      <c r="F120" s="57">
        <v>358651.26</v>
      </c>
      <c r="G120" s="68">
        <v>5000</v>
      </c>
      <c r="H120" s="3"/>
      <c r="I120" s="3"/>
      <c r="J120" s="105"/>
    </row>
    <row r="121" spans="1:10" s="29" customFormat="1" ht="14.25" thickTop="1" thickBot="1" x14ac:dyDescent="0.25">
      <c r="A121" s="52"/>
      <c r="B121" s="190"/>
      <c r="C121" s="137" t="s">
        <v>39</v>
      </c>
      <c r="D121" s="39">
        <v>0</v>
      </c>
      <c r="E121" s="39">
        <f>SUM(E120)</f>
        <v>363000</v>
      </c>
      <c r="F121" s="50">
        <f>SUM(F120)</f>
        <v>358651.26</v>
      </c>
      <c r="G121" s="68"/>
      <c r="H121" s="3"/>
      <c r="I121" s="3"/>
      <c r="J121" s="105"/>
    </row>
    <row r="122" spans="1:10" s="29" customFormat="1" ht="13.5" thickBot="1" x14ac:dyDescent="0.25">
      <c r="A122" s="52"/>
      <c r="B122" s="81">
        <v>5023</v>
      </c>
      <c r="C122" s="141" t="s">
        <v>132</v>
      </c>
      <c r="D122" s="82">
        <v>0</v>
      </c>
      <c r="E122" s="82">
        <v>1815000</v>
      </c>
      <c r="F122" s="83">
        <v>1815000</v>
      </c>
      <c r="G122" s="68"/>
      <c r="H122" s="3"/>
      <c r="I122" s="3"/>
      <c r="J122" s="105"/>
    </row>
    <row r="123" spans="1:10" s="29" customFormat="1" ht="14.25" thickTop="1" thickBot="1" x14ac:dyDescent="0.25">
      <c r="A123" s="52"/>
      <c r="B123" s="180"/>
      <c r="C123" s="146" t="s">
        <v>17</v>
      </c>
      <c r="D123" s="40">
        <v>0</v>
      </c>
      <c r="E123" s="40">
        <v>1815000</v>
      </c>
      <c r="F123" s="51">
        <f>SUM(F122)</f>
        <v>1815000</v>
      </c>
      <c r="G123" s="68"/>
      <c r="H123" s="3"/>
      <c r="I123" s="3"/>
      <c r="J123" s="105"/>
    </row>
    <row r="124" spans="1:10" s="29" customFormat="1" ht="13.5" thickBot="1" x14ac:dyDescent="0.25">
      <c r="A124" s="59"/>
      <c r="B124" s="182"/>
      <c r="C124" s="167" t="s">
        <v>9</v>
      </c>
      <c r="D124" s="169">
        <v>0</v>
      </c>
      <c r="E124" s="169">
        <f>SUM(E121+E123)</f>
        <v>2178000</v>
      </c>
      <c r="F124" s="169">
        <f>SUM(F121+F123)</f>
        <v>2173651.2599999998</v>
      </c>
      <c r="G124" s="68"/>
      <c r="H124" s="3"/>
      <c r="I124" s="3"/>
      <c r="J124" s="105"/>
    </row>
    <row r="125" spans="1:10" s="29" customFormat="1" ht="13.5" thickBot="1" x14ac:dyDescent="0.25">
      <c r="A125" s="52" t="s">
        <v>69</v>
      </c>
      <c r="B125" s="4"/>
      <c r="C125" s="139" t="s">
        <v>70</v>
      </c>
      <c r="D125" s="38">
        <v>0</v>
      </c>
      <c r="E125" s="38">
        <v>30000</v>
      </c>
      <c r="F125" s="57">
        <v>29645</v>
      </c>
      <c r="G125" s="68"/>
      <c r="H125" s="3"/>
      <c r="I125" s="3"/>
      <c r="J125" s="105"/>
    </row>
    <row r="126" spans="1:10" s="29" customFormat="1" ht="14.25" thickTop="1" thickBot="1" x14ac:dyDescent="0.25">
      <c r="A126" s="52"/>
      <c r="B126" s="190"/>
      <c r="C126" s="137" t="s">
        <v>39</v>
      </c>
      <c r="D126" s="39">
        <v>0</v>
      </c>
      <c r="E126" s="39">
        <f>SUM(E125)</f>
        <v>30000</v>
      </c>
      <c r="F126" s="50">
        <f>SUM(F125)</f>
        <v>29645</v>
      </c>
      <c r="G126" s="68"/>
      <c r="H126" s="3"/>
      <c r="I126" s="3"/>
      <c r="J126" s="105"/>
    </row>
    <row r="127" spans="1:10" s="29" customFormat="1" ht="13.5" thickBot="1" x14ac:dyDescent="0.25">
      <c r="A127" s="52"/>
      <c r="B127" s="193"/>
      <c r="C127" s="172" t="s">
        <v>9</v>
      </c>
      <c r="D127" s="173">
        <v>0</v>
      </c>
      <c r="E127" s="173">
        <f>SUM(E126)</f>
        <v>30000</v>
      </c>
      <c r="F127" s="174">
        <f>SUM(F126)</f>
        <v>29645</v>
      </c>
      <c r="G127" s="68"/>
      <c r="H127" s="3"/>
      <c r="I127" s="3"/>
      <c r="J127" s="105"/>
    </row>
    <row r="128" spans="1:10" s="29" customFormat="1" ht="13.5" thickBot="1" x14ac:dyDescent="0.25">
      <c r="A128" s="54" t="s">
        <v>13</v>
      </c>
      <c r="B128" s="4">
        <v>3920</v>
      </c>
      <c r="C128" s="139" t="s">
        <v>28</v>
      </c>
      <c r="D128" s="38">
        <v>1225000</v>
      </c>
      <c r="E128" s="38">
        <f>1225000-908000-317000</f>
        <v>0</v>
      </c>
      <c r="F128" s="57">
        <f>907714.06-907714.06</f>
        <v>0</v>
      </c>
      <c r="G128" s="68"/>
      <c r="H128" s="3"/>
      <c r="I128" s="3"/>
      <c r="J128" s="105"/>
    </row>
    <row r="129" spans="1:10" s="29" customFormat="1" ht="14.25" thickTop="1" thickBot="1" x14ac:dyDescent="0.25">
      <c r="A129" s="52"/>
      <c r="B129" s="187"/>
      <c r="C129" s="146" t="s">
        <v>17</v>
      </c>
      <c r="D129" s="40">
        <f t="shared" ref="D129:F130" si="2">SUM(D128)</f>
        <v>1225000</v>
      </c>
      <c r="E129" s="40">
        <f t="shared" si="2"/>
        <v>0</v>
      </c>
      <c r="F129" s="51">
        <f t="shared" si="2"/>
        <v>0</v>
      </c>
      <c r="G129" s="68"/>
      <c r="H129" s="3"/>
      <c r="I129" s="3"/>
      <c r="J129" s="105"/>
    </row>
    <row r="130" spans="1:10" s="29" customFormat="1" ht="13.5" thickBot="1" x14ac:dyDescent="0.25">
      <c r="A130" s="7"/>
      <c r="B130" s="194"/>
      <c r="C130" s="167" t="s">
        <v>9</v>
      </c>
      <c r="D130" s="169">
        <f t="shared" si="2"/>
        <v>1225000</v>
      </c>
      <c r="E130" s="169">
        <f t="shared" si="2"/>
        <v>0</v>
      </c>
      <c r="F130" s="170">
        <f t="shared" si="2"/>
        <v>0</v>
      </c>
      <c r="G130" s="68"/>
      <c r="H130" s="3"/>
      <c r="I130" s="3"/>
      <c r="J130" s="105"/>
    </row>
    <row r="131" spans="1:10" s="29" customFormat="1" ht="13.5" thickBot="1" x14ac:dyDescent="0.25">
      <c r="A131" s="54" t="s">
        <v>7</v>
      </c>
      <c r="B131" s="93"/>
      <c r="C131" s="139" t="s">
        <v>59</v>
      </c>
      <c r="D131" s="38">
        <v>0</v>
      </c>
      <c r="E131" s="38">
        <f>169000+146000</f>
        <v>315000</v>
      </c>
      <c r="F131" s="57">
        <v>314174.01</v>
      </c>
      <c r="G131" s="68"/>
      <c r="H131" s="3"/>
      <c r="I131" s="3"/>
      <c r="J131" s="105"/>
    </row>
    <row r="132" spans="1:10" s="29" customFormat="1" ht="14.25" thickTop="1" thickBot="1" x14ac:dyDescent="0.25">
      <c r="A132" s="52"/>
      <c r="B132" s="186"/>
      <c r="C132" s="140" t="s">
        <v>49</v>
      </c>
      <c r="D132" s="41">
        <v>0</v>
      </c>
      <c r="E132" s="41">
        <f>SUM(E131)</f>
        <v>315000</v>
      </c>
      <c r="F132" s="86">
        <f>SUM(F131)</f>
        <v>314174.01</v>
      </c>
      <c r="G132" s="68"/>
      <c r="H132" s="3"/>
      <c r="I132" s="3"/>
      <c r="J132" s="105"/>
    </row>
    <row r="133" spans="1:10" s="29" customFormat="1" x14ac:dyDescent="0.2">
      <c r="A133" s="52"/>
      <c r="B133" s="101"/>
      <c r="C133" s="138" t="s">
        <v>47</v>
      </c>
      <c r="D133" s="79">
        <v>0</v>
      </c>
      <c r="E133" s="79">
        <f>5121000-4608000</f>
        <v>513000</v>
      </c>
      <c r="F133" s="87">
        <f>5120660-4608594</f>
        <v>512066</v>
      </c>
      <c r="G133" s="68"/>
      <c r="H133" s="3"/>
      <c r="I133" s="3"/>
      <c r="J133" s="105"/>
    </row>
    <row r="134" spans="1:10" s="29" customFormat="1" ht="13.5" thickBot="1" x14ac:dyDescent="0.25">
      <c r="A134" s="52"/>
      <c r="B134" s="81">
        <v>6878</v>
      </c>
      <c r="C134" s="141">
        <v>2</v>
      </c>
      <c r="D134" s="82">
        <v>0</v>
      </c>
      <c r="E134" s="82">
        <f>2414000-1309000</f>
        <v>1105000</v>
      </c>
      <c r="F134" s="88">
        <f>SUM(1698873.82+715126.18-1309636.8)</f>
        <v>1104363.2</v>
      </c>
      <c r="G134" s="68"/>
      <c r="H134" s="3"/>
      <c r="I134" s="3"/>
      <c r="J134" s="105"/>
    </row>
    <row r="135" spans="1:10" s="29" customFormat="1" ht="14.25" thickTop="1" thickBot="1" x14ac:dyDescent="0.25">
      <c r="A135" s="52"/>
      <c r="B135" s="99"/>
      <c r="C135" s="137" t="s">
        <v>12</v>
      </c>
      <c r="D135" s="89">
        <v>0</v>
      </c>
      <c r="E135" s="39">
        <f>SUM(E133:E134)</f>
        <v>1618000</v>
      </c>
      <c r="F135" s="90">
        <f>SUM(F133:F134)</f>
        <v>1616429.2</v>
      </c>
      <c r="G135" s="68"/>
      <c r="H135" s="3"/>
      <c r="I135" s="3"/>
      <c r="J135" s="105"/>
    </row>
    <row r="136" spans="1:10" s="29" customFormat="1" x14ac:dyDescent="0.2">
      <c r="A136" s="52"/>
      <c r="B136" s="101">
        <v>3918</v>
      </c>
      <c r="C136" s="138" t="s">
        <v>30</v>
      </c>
      <c r="D136" s="79">
        <v>2500000</v>
      </c>
      <c r="E136" s="79">
        <f>2500000-2500000</f>
        <v>0</v>
      </c>
      <c r="F136" s="87">
        <v>0</v>
      </c>
      <c r="G136" s="68"/>
      <c r="H136" s="3"/>
      <c r="I136" s="3"/>
      <c r="J136" s="105"/>
    </row>
    <row r="137" spans="1:10" s="29" customFormat="1" x14ac:dyDescent="0.2">
      <c r="A137" s="52"/>
      <c r="B137" s="60">
        <v>3925</v>
      </c>
      <c r="C137" s="136" t="s">
        <v>60</v>
      </c>
      <c r="D137" s="61">
        <v>0</v>
      </c>
      <c r="E137" s="61">
        <v>400000</v>
      </c>
      <c r="F137" s="102">
        <v>0</v>
      </c>
      <c r="G137" s="68">
        <v>400000</v>
      </c>
      <c r="H137" s="3"/>
      <c r="I137" s="3"/>
      <c r="J137" s="105"/>
    </row>
    <row r="138" spans="1:10" s="29" customFormat="1" x14ac:dyDescent="0.2">
      <c r="A138" s="52"/>
      <c r="B138" s="60">
        <v>3926</v>
      </c>
      <c r="C138" s="136" t="s">
        <v>61</v>
      </c>
      <c r="D138" s="61">
        <v>0</v>
      </c>
      <c r="E138" s="61">
        <f>1750000-1750000</f>
        <v>0</v>
      </c>
      <c r="F138" s="102">
        <v>0</v>
      </c>
      <c r="G138" s="68"/>
      <c r="H138" s="3"/>
      <c r="I138" s="3"/>
      <c r="J138" s="105"/>
    </row>
    <row r="139" spans="1:10" s="29" customFormat="1" ht="13.5" thickBot="1" x14ac:dyDescent="0.25">
      <c r="A139" s="52"/>
      <c r="B139" s="97">
        <v>6867</v>
      </c>
      <c r="C139" s="135" t="s">
        <v>74</v>
      </c>
      <c r="D139" s="91">
        <v>0</v>
      </c>
      <c r="E139" s="91">
        <v>4500000</v>
      </c>
      <c r="F139" s="100">
        <f>SUM(320659.16+743080.19+1944832.41+1491428.24)</f>
        <v>4500000</v>
      </c>
      <c r="G139" s="68"/>
      <c r="H139" s="68"/>
      <c r="I139" s="3"/>
      <c r="J139" s="105"/>
    </row>
    <row r="140" spans="1:10" s="29" customFormat="1" ht="14.25" thickTop="1" thickBot="1" x14ac:dyDescent="0.25">
      <c r="A140" s="52"/>
      <c r="B140" s="99"/>
      <c r="C140" s="137" t="s">
        <v>17</v>
      </c>
      <c r="D140" s="89">
        <f>SUM(D136)</f>
        <v>2500000</v>
      </c>
      <c r="E140" s="39">
        <f>SUM(E136:E139)</f>
        <v>4900000</v>
      </c>
      <c r="F140" s="90">
        <f>SUM(F136:F139)</f>
        <v>4500000</v>
      </c>
      <c r="G140" s="68"/>
      <c r="H140" s="3"/>
      <c r="I140" s="3"/>
      <c r="J140" s="105"/>
    </row>
    <row r="141" spans="1:10" s="29" customFormat="1" ht="13.5" thickBot="1" x14ac:dyDescent="0.25">
      <c r="A141" s="59"/>
      <c r="B141" s="182"/>
      <c r="C141" s="167" t="s">
        <v>9</v>
      </c>
      <c r="D141" s="169">
        <f>SUM(D140)</f>
        <v>2500000</v>
      </c>
      <c r="E141" s="169">
        <f>SUM(E140,E135,E132)</f>
        <v>6833000</v>
      </c>
      <c r="F141" s="169">
        <f>SUM(F140,F135,F132)</f>
        <v>6430603.21</v>
      </c>
      <c r="G141" s="68"/>
      <c r="H141" s="3"/>
      <c r="I141" s="3"/>
      <c r="J141" s="105"/>
    </row>
    <row r="142" spans="1:10" s="29" customFormat="1" x14ac:dyDescent="0.2">
      <c r="A142" s="52" t="s">
        <v>40</v>
      </c>
      <c r="B142" s="78">
        <v>6877</v>
      </c>
      <c r="C142" s="138" t="s">
        <v>76</v>
      </c>
      <c r="D142" s="79">
        <v>0</v>
      </c>
      <c r="E142" s="79">
        <v>4757000</v>
      </c>
      <c r="F142" s="87">
        <f>SUM(757000+1942772+2057228)</f>
        <v>4757000</v>
      </c>
      <c r="G142" s="68"/>
      <c r="H142" s="3"/>
      <c r="I142" s="3"/>
      <c r="J142" s="105"/>
    </row>
    <row r="143" spans="1:10" s="29" customFormat="1" ht="13.5" thickBot="1" x14ac:dyDescent="0.25">
      <c r="A143" s="52"/>
      <c r="B143" s="81">
        <v>6833</v>
      </c>
      <c r="C143" s="141" t="s">
        <v>122</v>
      </c>
      <c r="D143" s="82">
        <v>0</v>
      </c>
      <c r="E143" s="82">
        <f>5124000-3845000</f>
        <v>1279000</v>
      </c>
      <c r="F143" s="88">
        <f>4827252.79-3844633.64</f>
        <v>982619.14999999991</v>
      </c>
      <c r="G143" s="68"/>
      <c r="H143" s="3"/>
      <c r="I143" s="3"/>
      <c r="J143" s="105"/>
    </row>
    <row r="144" spans="1:10" s="29" customFormat="1" ht="14.25" thickTop="1" thickBot="1" x14ac:dyDescent="0.25">
      <c r="A144" s="52"/>
      <c r="B144" s="186"/>
      <c r="C144" s="140" t="s">
        <v>12</v>
      </c>
      <c r="D144" s="41">
        <v>0</v>
      </c>
      <c r="E144" s="41">
        <f>SUM(E142:E143)</f>
        <v>6036000</v>
      </c>
      <c r="F144" s="106">
        <f>SUM(F142:F143)</f>
        <v>5739619.1500000004</v>
      </c>
      <c r="G144" s="68"/>
      <c r="H144" s="3"/>
      <c r="I144" s="3"/>
      <c r="J144" s="105"/>
    </row>
    <row r="145" spans="1:10" s="29" customFormat="1" x14ac:dyDescent="0.2">
      <c r="A145" s="52"/>
      <c r="B145" s="78"/>
      <c r="C145" s="138" t="s">
        <v>41</v>
      </c>
      <c r="D145" s="79">
        <v>0</v>
      </c>
      <c r="E145" s="79">
        <v>121000</v>
      </c>
      <c r="F145" s="87">
        <f>SUM(121000)</f>
        <v>121000</v>
      </c>
      <c r="G145" s="68"/>
      <c r="H145" s="3"/>
      <c r="I145" s="3"/>
      <c r="J145" s="105"/>
    </row>
    <row r="146" spans="1:10" s="29" customFormat="1" ht="13.5" thickBot="1" x14ac:dyDescent="0.25">
      <c r="A146" s="52"/>
      <c r="B146" s="81"/>
      <c r="C146" s="141" t="s">
        <v>46</v>
      </c>
      <c r="D146" s="82">
        <v>0</v>
      </c>
      <c r="E146" s="82">
        <v>121000</v>
      </c>
      <c r="F146" s="88">
        <v>121000</v>
      </c>
      <c r="G146" s="68"/>
      <c r="H146" s="3"/>
      <c r="I146" s="3"/>
      <c r="J146" s="105"/>
    </row>
    <row r="147" spans="1:10" s="29" customFormat="1" ht="14.25" thickTop="1" thickBot="1" x14ac:dyDescent="0.25">
      <c r="A147" s="52"/>
      <c r="B147" s="187"/>
      <c r="C147" s="146" t="s">
        <v>39</v>
      </c>
      <c r="D147" s="40">
        <v>0</v>
      </c>
      <c r="E147" s="40">
        <f>SUM(E145:E146)</f>
        <v>242000</v>
      </c>
      <c r="F147" s="77">
        <f>SUM(F145:F146)</f>
        <v>242000</v>
      </c>
      <c r="G147" s="68"/>
      <c r="H147" s="3"/>
      <c r="I147" s="3"/>
      <c r="J147" s="105"/>
    </row>
    <row r="148" spans="1:10" s="29" customFormat="1" ht="13.5" thickBot="1" x14ac:dyDescent="0.25">
      <c r="A148" s="52"/>
      <c r="B148" s="4"/>
      <c r="C148" s="139" t="s">
        <v>123</v>
      </c>
      <c r="D148" s="38">
        <v>0</v>
      </c>
      <c r="E148" s="38">
        <v>113000</v>
      </c>
      <c r="F148" s="45">
        <f>88330+24670</f>
        <v>113000</v>
      </c>
      <c r="G148" s="68"/>
      <c r="H148" s="3"/>
      <c r="I148" s="3"/>
      <c r="J148" s="105"/>
    </row>
    <row r="149" spans="1:10" s="29" customFormat="1" ht="14.25" thickTop="1" thickBot="1" x14ac:dyDescent="0.25">
      <c r="A149" s="52"/>
      <c r="B149" s="189"/>
      <c r="C149" s="140" t="s">
        <v>55</v>
      </c>
      <c r="D149" s="41"/>
      <c r="E149" s="41">
        <f>SUM(E148)</f>
        <v>113000</v>
      </c>
      <c r="F149" s="106">
        <f>SUM(F148)</f>
        <v>113000</v>
      </c>
      <c r="G149" s="68"/>
      <c r="H149" s="3"/>
      <c r="I149" s="3"/>
      <c r="J149" s="105"/>
    </row>
    <row r="150" spans="1:10" s="29" customFormat="1" x14ac:dyDescent="0.2">
      <c r="A150" s="52"/>
      <c r="B150" s="78"/>
      <c r="C150" s="138" t="s">
        <v>73</v>
      </c>
      <c r="D150" s="79">
        <v>0</v>
      </c>
      <c r="E150" s="79">
        <v>1240000</v>
      </c>
      <c r="F150" s="125">
        <f>SUM(415504.04+824495.96)</f>
        <v>1240000</v>
      </c>
      <c r="G150" s="68"/>
      <c r="H150" s="3"/>
      <c r="I150" s="3"/>
      <c r="J150" s="105"/>
    </row>
    <row r="151" spans="1:10" s="29" customFormat="1" ht="13.5" thickBot="1" x14ac:dyDescent="0.25">
      <c r="A151" s="52"/>
      <c r="B151" s="81">
        <v>6877</v>
      </c>
      <c r="C151" s="141" t="s">
        <v>76</v>
      </c>
      <c r="D151" s="82">
        <v>0</v>
      </c>
      <c r="E151" s="82">
        <v>4243000</v>
      </c>
      <c r="F151" s="88">
        <f>SUM(4243000)</f>
        <v>4243000</v>
      </c>
      <c r="G151" s="68"/>
      <c r="H151" s="3"/>
      <c r="I151" s="3"/>
      <c r="J151" s="105"/>
    </row>
    <row r="152" spans="1:10" s="29" customFormat="1" ht="14.25" thickTop="1" thickBot="1" x14ac:dyDescent="0.25">
      <c r="A152" s="52"/>
      <c r="B152" s="190"/>
      <c r="C152" s="137" t="s">
        <v>17</v>
      </c>
      <c r="D152" s="39">
        <v>0</v>
      </c>
      <c r="E152" s="39">
        <f>SUM(E150:E151)</f>
        <v>5483000</v>
      </c>
      <c r="F152" s="90">
        <f>SUM(F150:F151)</f>
        <v>5483000</v>
      </c>
      <c r="G152" s="68"/>
      <c r="H152" s="3"/>
      <c r="I152" s="3"/>
      <c r="J152" s="105"/>
    </row>
    <row r="153" spans="1:10" s="29" customFormat="1" ht="13.5" thickBot="1" x14ac:dyDescent="0.25">
      <c r="A153" s="52"/>
      <c r="B153" s="191"/>
      <c r="C153" s="172" t="s">
        <v>9</v>
      </c>
      <c r="D153" s="173">
        <v>0</v>
      </c>
      <c r="E153" s="173">
        <f>SUM(E144+E147+E149+E152)</f>
        <v>11874000</v>
      </c>
      <c r="F153" s="173">
        <f>SUM(F144+F147+F149+F152)</f>
        <v>11577619.15</v>
      </c>
      <c r="G153" s="68"/>
      <c r="H153" s="3"/>
      <c r="I153" s="3"/>
      <c r="J153" s="105"/>
    </row>
    <row r="154" spans="1:10" s="29" customFormat="1" ht="13.5" thickBot="1" x14ac:dyDescent="0.25">
      <c r="A154" s="54" t="s">
        <v>32</v>
      </c>
      <c r="B154" s="4">
        <v>8754</v>
      </c>
      <c r="C154" s="139" t="s">
        <v>105</v>
      </c>
      <c r="D154" s="38">
        <v>0</v>
      </c>
      <c r="E154" s="38">
        <v>2697000</v>
      </c>
      <c r="F154" s="45">
        <f>SUM(488782+466540+1152638+126260)</f>
        <v>2234220</v>
      </c>
      <c r="G154" s="68"/>
      <c r="H154" s="3"/>
      <c r="I154" s="3"/>
      <c r="J154" s="105"/>
    </row>
    <row r="155" spans="1:10" s="29" customFormat="1" ht="14.25" thickTop="1" thickBot="1" x14ac:dyDescent="0.25">
      <c r="A155" s="52"/>
      <c r="B155" s="186"/>
      <c r="C155" s="140" t="s">
        <v>12</v>
      </c>
      <c r="D155" s="41">
        <v>0</v>
      </c>
      <c r="E155" s="41">
        <f>SUM(E154)</f>
        <v>2697000</v>
      </c>
      <c r="F155" s="106">
        <f>SUM(F154)</f>
        <v>2234220</v>
      </c>
      <c r="G155" s="68"/>
      <c r="H155" s="3"/>
      <c r="I155" s="3"/>
      <c r="J155" s="105"/>
    </row>
    <row r="156" spans="1:10" s="29" customFormat="1" ht="13.5" thickBot="1" x14ac:dyDescent="0.25">
      <c r="A156" s="52"/>
      <c r="B156" s="93">
        <v>8748</v>
      </c>
      <c r="C156" s="139" t="s">
        <v>31</v>
      </c>
      <c r="D156" s="38">
        <v>0</v>
      </c>
      <c r="E156" s="38">
        <v>1300000</v>
      </c>
      <c r="F156" s="45">
        <f>SUM(1173916.59+35912.8+50465.43)</f>
        <v>1260294.82</v>
      </c>
      <c r="G156" s="68"/>
      <c r="H156" s="3"/>
      <c r="I156" s="3"/>
      <c r="J156" s="105"/>
    </row>
    <row r="157" spans="1:10" s="29" customFormat="1" ht="14.25" thickTop="1" thickBot="1" x14ac:dyDescent="0.25">
      <c r="A157" s="52"/>
      <c r="B157" s="180"/>
      <c r="C157" s="146" t="s">
        <v>17</v>
      </c>
      <c r="D157" s="40">
        <v>0</v>
      </c>
      <c r="E157" s="40">
        <f>SUM(E156)</f>
        <v>1300000</v>
      </c>
      <c r="F157" s="77">
        <f>SUM(F156)</f>
        <v>1260294.82</v>
      </c>
      <c r="G157" s="68"/>
      <c r="H157" s="3"/>
      <c r="I157" s="3"/>
      <c r="J157" s="105"/>
    </row>
    <row r="158" spans="1:10" s="29" customFormat="1" ht="13.5" thickBot="1" x14ac:dyDescent="0.25">
      <c r="A158" s="59"/>
      <c r="B158" s="182"/>
      <c r="C158" s="167" t="s">
        <v>9</v>
      </c>
      <c r="D158" s="169">
        <v>0</v>
      </c>
      <c r="E158" s="169">
        <f>SUM(E155+E157)</f>
        <v>3997000</v>
      </c>
      <c r="F158" s="169">
        <f>SUM(F155+F157)</f>
        <v>3494514.8200000003</v>
      </c>
      <c r="G158" s="68"/>
      <c r="H158" s="3"/>
      <c r="I158" s="3"/>
      <c r="J158" s="105"/>
    </row>
    <row r="159" spans="1:10" s="29" customFormat="1" x14ac:dyDescent="0.2">
      <c r="G159" s="68"/>
      <c r="H159" s="3"/>
      <c r="I159" s="3"/>
      <c r="J159" s="105"/>
    </row>
    <row r="160" spans="1:10" s="29" customFormat="1" x14ac:dyDescent="0.2">
      <c r="G160" s="68"/>
      <c r="H160" s="3"/>
      <c r="I160" s="3"/>
      <c r="J160" s="105"/>
    </row>
    <row r="161" spans="1:10" s="29" customFormat="1" ht="13.5" thickBot="1" x14ac:dyDescent="0.25">
      <c r="G161" s="68"/>
      <c r="H161" s="3"/>
      <c r="I161" s="3"/>
      <c r="J161" s="105"/>
    </row>
    <row r="162" spans="1:10" s="203" customFormat="1" x14ac:dyDescent="0.2">
      <c r="A162" s="214" t="s">
        <v>0</v>
      </c>
      <c r="B162" s="207" t="s">
        <v>1</v>
      </c>
      <c r="C162" s="216" t="s">
        <v>2</v>
      </c>
      <c r="D162" s="207" t="s">
        <v>3</v>
      </c>
      <c r="E162" s="207" t="s">
        <v>4</v>
      </c>
      <c r="F162" s="209" t="s">
        <v>11</v>
      </c>
      <c r="G162" s="201"/>
      <c r="H162" s="202"/>
      <c r="I162" s="202"/>
      <c r="J162" s="201"/>
    </row>
    <row r="163" spans="1:10" s="203" customFormat="1" ht="13.5" thickBot="1" x14ac:dyDescent="0.25">
      <c r="A163" s="215"/>
      <c r="B163" s="208"/>
      <c r="C163" s="217"/>
      <c r="D163" s="208"/>
      <c r="E163" s="208"/>
      <c r="F163" s="210"/>
      <c r="G163" s="201"/>
      <c r="H163" s="202"/>
      <c r="I163" s="202"/>
      <c r="J163" s="201"/>
    </row>
    <row r="164" spans="1:10" s="29" customFormat="1" ht="13.5" thickBot="1" x14ac:dyDescent="0.25">
      <c r="A164" s="52" t="s">
        <v>71</v>
      </c>
      <c r="B164" s="4">
        <v>7620</v>
      </c>
      <c r="C164" s="139" t="s">
        <v>72</v>
      </c>
      <c r="D164" s="38">
        <v>0</v>
      </c>
      <c r="E164" s="38">
        <v>2500000</v>
      </c>
      <c r="F164" s="45">
        <f>SUM(1133941.82-196799.82+610246.08-105910.48+664118.58-158648.68)</f>
        <v>1946947.5000000002</v>
      </c>
      <c r="G164" s="68">
        <v>620000</v>
      </c>
      <c r="H164" s="3"/>
      <c r="I164" s="3"/>
      <c r="J164" s="105"/>
    </row>
    <row r="165" spans="1:10" s="29" customFormat="1" ht="14.25" thickTop="1" thickBot="1" x14ac:dyDescent="0.25">
      <c r="A165" s="52"/>
      <c r="B165" s="190"/>
      <c r="C165" s="137" t="s">
        <v>12</v>
      </c>
      <c r="D165" s="39">
        <v>0</v>
      </c>
      <c r="E165" s="39">
        <f>SUM(E164)</f>
        <v>2500000</v>
      </c>
      <c r="F165" s="90">
        <f>SUM(F164)</f>
        <v>1946947.5000000002</v>
      </c>
      <c r="G165" s="68"/>
      <c r="H165" s="3"/>
      <c r="I165" s="3"/>
      <c r="J165" s="105"/>
    </row>
    <row r="166" spans="1:10" s="109" customFormat="1" ht="13.5" thickBot="1" x14ac:dyDescent="0.25">
      <c r="A166" s="108"/>
      <c r="B166" s="4">
        <v>8751</v>
      </c>
      <c r="C166" s="139" t="s">
        <v>86</v>
      </c>
      <c r="D166" s="38">
        <v>0</v>
      </c>
      <c r="E166" s="38">
        <f>5647000-144000</f>
        <v>5503000</v>
      </c>
      <c r="F166" s="45">
        <f>SUM(361477.64+4464040.8+667199.48)</f>
        <v>5492717.9199999999</v>
      </c>
      <c r="G166" s="121">
        <v>10000</v>
      </c>
      <c r="H166" s="121"/>
      <c r="I166" s="1"/>
      <c r="J166" s="105"/>
    </row>
    <row r="167" spans="1:10" s="29" customFormat="1" ht="14.25" thickTop="1" thickBot="1" x14ac:dyDescent="0.25">
      <c r="A167" s="52"/>
      <c r="B167" s="190"/>
      <c r="C167" s="137" t="s">
        <v>17</v>
      </c>
      <c r="D167" s="39">
        <v>0</v>
      </c>
      <c r="E167" s="39">
        <f>SUM(E166)</f>
        <v>5503000</v>
      </c>
      <c r="F167" s="90">
        <f>SUM(F166)</f>
        <v>5492717.9199999999</v>
      </c>
      <c r="G167" s="68"/>
      <c r="H167" s="3"/>
      <c r="I167" s="3"/>
      <c r="J167" s="105"/>
    </row>
    <row r="168" spans="1:10" s="29" customFormat="1" ht="13.5" thickBot="1" x14ac:dyDescent="0.25">
      <c r="A168" s="59"/>
      <c r="B168" s="188"/>
      <c r="C168" s="167" t="s">
        <v>9</v>
      </c>
      <c r="D168" s="169">
        <v>0</v>
      </c>
      <c r="E168" s="169">
        <f>SUM(E165+E167)</f>
        <v>8003000</v>
      </c>
      <c r="F168" s="169">
        <f>SUM(F165+F167)</f>
        <v>7439665.4199999999</v>
      </c>
      <c r="G168" s="68"/>
      <c r="H168" s="3"/>
      <c r="I168" s="3"/>
      <c r="J168" s="105"/>
    </row>
    <row r="169" spans="1:10" s="29" customFormat="1" ht="13.5" thickBot="1" x14ac:dyDescent="0.25">
      <c r="A169" s="54" t="s">
        <v>89</v>
      </c>
      <c r="B169" s="4">
        <v>4609</v>
      </c>
      <c r="C169" s="139" t="s">
        <v>90</v>
      </c>
      <c r="D169" s="38">
        <v>0</v>
      </c>
      <c r="E169" s="38">
        <v>129000</v>
      </c>
      <c r="F169" s="45">
        <v>128605.75999999999</v>
      </c>
      <c r="G169" s="68"/>
      <c r="H169" s="3"/>
      <c r="I169" s="3"/>
      <c r="J169" s="105"/>
    </row>
    <row r="170" spans="1:10" s="29" customFormat="1" ht="14.25" thickTop="1" thickBot="1" x14ac:dyDescent="0.25">
      <c r="A170" s="52"/>
      <c r="B170" s="190"/>
      <c r="C170" s="137" t="s">
        <v>17</v>
      </c>
      <c r="D170" s="39">
        <v>0</v>
      </c>
      <c r="E170" s="39">
        <v>129000</v>
      </c>
      <c r="F170" s="90">
        <f>SUM(F169)</f>
        <v>128605.75999999999</v>
      </c>
      <c r="G170" s="68"/>
      <c r="H170" s="3"/>
      <c r="I170" s="3"/>
      <c r="J170" s="105"/>
    </row>
    <row r="171" spans="1:10" s="29" customFormat="1" ht="13.5" thickBot="1" x14ac:dyDescent="0.25">
      <c r="A171" s="59"/>
      <c r="B171" s="188"/>
      <c r="C171" s="167" t="s">
        <v>9</v>
      </c>
      <c r="D171" s="169">
        <v>0</v>
      </c>
      <c r="E171" s="169">
        <v>129000</v>
      </c>
      <c r="F171" s="175">
        <f>SUM(F170)</f>
        <v>128605.75999999999</v>
      </c>
      <c r="G171" s="68"/>
      <c r="H171" s="3"/>
      <c r="I171" s="3"/>
      <c r="J171" s="105"/>
    </row>
    <row r="172" spans="1:10" s="29" customFormat="1" x14ac:dyDescent="0.2">
      <c r="A172" s="52" t="s">
        <v>96</v>
      </c>
      <c r="B172" s="103">
        <v>5031</v>
      </c>
      <c r="C172" s="135" t="s">
        <v>97</v>
      </c>
      <c r="D172" s="91">
        <v>0</v>
      </c>
      <c r="E172" s="91">
        <v>54000</v>
      </c>
      <c r="F172" s="100">
        <v>54000</v>
      </c>
      <c r="G172" s="68"/>
      <c r="H172" s="3"/>
      <c r="I172" s="3"/>
      <c r="J172" s="105"/>
    </row>
    <row r="173" spans="1:10" s="29" customFormat="1" x14ac:dyDescent="0.2">
      <c r="A173" s="52"/>
      <c r="B173" s="60">
        <v>5032</v>
      </c>
      <c r="C173" s="136" t="s">
        <v>98</v>
      </c>
      <c r="D173" s="61">
        <v>0</v>
      </c>
      <c r="E173" s="61">
        <v>74000</v>
      </c>
      <c r="F173" s="102">
        <v>74000</v>
      </c>
      <c r="G173" s="68"/>
      <c r="H173" s="3"/>
      <c r="I173" s="3"/>
      <c r="J173" s="105"/>
    </row>
    <row r="174" spans="1:10" s="29" customFormat="1" ht="13.5" thickBot="1" x14ac:dyDescent="0.25">
      <c r="A174" s="52"/>
      <c r="B174" s="81">
        <v>5033</v>
      </c>
      <c r="C174" s="141" t="s">
        <v>99</v>
      </c>
      <c r="D174" s="82">
        <v>0</v>
      </c>
      <c r="E174" s="82">
        <v>10000</v>
      </c>
      <c r="F174" s="88">
        <v>10000</v>
      </c>
      <c r="G174" s="68"/>
      <c r="H174" s="3"/>
      <c r="I174" s="3"/>
      <c r="J174" s="105"/>
    </row>
    <row r="175" spans="1:10" s="29" customFormat="1" ht="14.25" thickTop="1" thickBot="1" x14ac:dyDescent="0.25">
      <c r="A175" s="52"/>
      <c r="B175" s="190"/>
      <c r="C175" s="137" t="s">
        <v>17</v>
      </c>
      <c r="D175" s="39">
        <v>0</v>
      </c>
      <c r="E175" s="39">
        <f>SUM(E172:E174)</f>
        <v>138000</v>
      </c>
      <c r="F175" s="90">
        <f>SUM(F172:F174)</f>
        <v>138000</v>
      </c>
      <c r="G175" s="68"/>
      <c r="H175" s="3"/>
      <c r="I175" s="3"/>
      <c r="J175" s="105"/>
    </row>
    <row r="176" spans="1:10" s="29" customFormat="1" ht="13.5" thickBot="1" x14ac:dyDescent="0.25">
      <c r="A176" s="52"/>
      <c r="B176" s="191"/>
      <c r="C176" s="172" t="s">
        <v>9</v>
      </c>
      <c r="D176" s="173">
        <v>0</v>
      </c>
      <c r="E176" s="173">
        <f>SUM(E175)</f>
        <v>138000</v>
      </c>
      <c r="F176" s="176">
        <f>SUM(F175)</f>
        <v>138000</v>
      </c>
      <c r="G176" s="68"/>
      <c r="H176" s="3"/>
      <c r="I176" s="3"/>
      <c r="J176" s="105"/>
    </row>
    <row r="177" spans="1:10" s="29" customFormat="1" ht="13.5" thickBot="1" x14ac:dyDescent="0.25">
      <c r="A177" s="54" t="s">
        <v>62</v>
      </c>
      <c r="B177" s="93"/>
      <c r="C177" s="139" t="s">
        <v>66</v>
      </c>
      <c r="D177" s="38">
        <v>0</v>
      </c>
      <c r="E177" s="38">
        <v>2506000</v>
      </c>
      <c r="F177" s="45">
        <f>SUM(2127409.49+287978.24)</f>
        <v>2415387.7300000004</v>
      </c>
      <c r="G177" s="68"/>
      <c r="H177" s="3"/>
      <c r="I177" s="3"/>
      <c r="J177" s="105"/>
    </row>
    <row r="178" spans="1:10" s="29" customFormat="1" ht="14.25" thickTop="1" thickBot="1" x14ac:dyDescent="0.25">
      <c r="A178" s="52"/>
      <c r="B178" s="180"/>
      <c r="C178" s="146" t="s">
        <v>12</v>
      </c>
      <c r="D178" s="40">
        <v>0</v>
      </c>
      <c r="E178" s="40">
        <f>SUM(E177)</f>
        <v>2506000</v>
      </c>
      <c r="F178" s="77">
        <f>SUM(F177)</f>
        <v>2415387.7300000004</v>
      </c>
      <c r="G178" s="68"/>
      <c r="H178" s="3"/>
      <c r="I178" s="3"/>
      <c r="J178" s="105"/>
    </row>
    <row r="179" spans="1:10" s="29" customFormat="1" ht="13.5" thickBot="1" x14ac:dyDescent="0.25">
      <c r="A179" s="52"/>
      <c r="B179" s="93"/>
      <c r="C179" s="139" t="s">
        <v>63</v>
      </c>
      <c r="D179" s="38">
        <v>0</v>
      </c>
      <c r="E179" s="38">
        <v>122000</v>
      </c>
      <c r="F179" s="45">
        <f>SUM(72842+24200)</f>
        <v>97042</v>
      </c>
      <c r="G179" s="68"/>
      <c r="H179" s="3"/>
      <c r="I179" s="3"/>
      <c r="J179" s="105"/>
    </row>
    <row r="180" spans="1:10" s="29" customFormat="1" ht="14.25" thickTop="1" thickBot="1" x14ac:dyDescent="0.25">
      <c r="A180" s="52"/>
      <c r="B180" s="180"/>
      <c r="C180" s="146" t="s">
        <v>55</v>
      </c>
      <c r="D180" s="40">
        <v>0</v>
      </c>
      <c r="E180" s="40">
        <f>SUM(E179)</f>
        <v>122000</v>
      </c>
      <c r="F180" s="77">
        <f>SUM(F179)</f>
        <v>97042</v>
      </c>
      <c r="G180" s="68"/>
      <c r="H180" s="3"/>
      <c r="I180" s="3"/>
      <c r="J180" s="105"/>
    </row>
    <row r="181" spans="1:10" s="109" customFormat="1" ht="13.5" thickBot="1" x14ac:dyDescent="0.25">
      <c r="A181" s="108"/>
      <c r="B181" s="93">
        <v>3929</v>
      </c>
      <c r="C181" s="139" t="s">
        <v>87</v>
      </c>
      <c r="D181" s="38">
        <v>0</v>
      </c>
      <c r="E181" s="38">
        <v>430000</v>
      </c>
      <c r="F181" s="45">
        <f>SUM(430000)</f>
        <v>430000</v>
      </c>
      <c r="G181" s="121"/>
      <c r="H181" s="1"/>
      <c r="I181" s="1"/>
      <c r="J181" s="105"/>
    </row>
    <row r="182" spans="1:10" s="29" customFormat="1" ht="14.25" thickTop="1" thickBot="1" x14ac:dyDescent="0.25">
      <c r="A182" s="52"/>
      <c r="B182" s="180"/>
      <c r="C182" s="146" t="s">
        <v>17</v>
      </c>
      <c r="D182" s="40">
        <v>0</v>
      </c>
      <c r="E182" s="40">
        <f>SUM(E181)</f>
        <v>430000</v>
      </c>
      <c r="F182" s="77">
        <f>SUM(F181)</f>
        <v>430000</v>
      </c>
      <c r="G182" s="68"/>
      <c r="H182" s="3"/>
      <c r="I182" s="3"/>
      <c r="J182" s="105"/>
    </row>
    <row r="183" spans="1:10" s="29" customFormat="1" ht="13.5" thickBot="1" x14ac:dyDescent="0.25">
      <c r="A183" s="59"/>
      <c r="B183" s="182"/>
      <c r="C183" s="167" t="s">
        <v>9</v>
      </c>
      <c r="D183" s="169">
        <v>0</v>
      </c>
      <c r="E183" s="169">
        <f>SUM(E178+E180+E182)</f>
        <v>3058000</v>
      </c>
      <c r="F183" s="169">
        <f>SUM(F178+F180+F182)</f>
        <v>2942429.7300000004</v>
      </c>
      <c r="G183" s="69"/>
      <c r="H183" s="3"/>
      <c r="I183" s="3"/>
      <c r="J183" s="105"/>
    </row>
    <row r="184" spans="1:10" s="29" customFormat="1" ht="16.5" customHeight="1" thickBot="1" x14ac:dyDescent="0.25">
      <c r="A184" s="211" t="s">
        <v>10</v>
      </c>
      <c r="B184" s="212"/>
      <c r="C184" s="213"/>
      <c r="D184" s="53">
        <f>SUM(D141,D130,D119,D104,D62,D59,D46,D20)</f>
        <v>88374000</v>
      </c>
      <c r="E184" s="53">
        <f>SUM(E20+E29+E46+E59+E62+E70+E76+E94+E104+E113+E119+E124+E127+E130+E141+E153+E158+E168+E171+E176+E183)</f>
        <v>207496000</v>
      </c>
      <c r="F184" s="53">
        <f>SUM(F20+F29+F46+F59+F62+F70+F76+F94+F104+F113+F119+F124+F127+F130+F141+F153+F158+F168+F171+F176+F183)</f>
        <v>187891010.81999996</v>
      </c>
      <c r="G184" s="69"/>
      <c r="H184" s="6"/>
      <c r="I184" s="6"/>
      <c r="J184" s="105"/>
    </row>
    <row r="185" spans="1:10" s="29" customFormat="1" x14ac:dyDescent="0.2">
      <c r="A185" s="9"/>
      <c r="B185" s="16"/>
      <c r="C185" s="140"/>
      <c r="D185" s="42"/>
      <c r="E185" s="69"/>
      <c r="F185" s="15"/>
      <c r="G185" s="69">
        <f>SUM(G7:G184)</f>
        <v>14196731.92</v>
      </c>
      <c r="H185" s="6"/>
      <c r="I185" s="6"/>
      <c r="J185" s="69"/>
    </row>
    <row r="186" spans="1:10" s="29" customFormat="1" x14ac:dyDescent="0.2">
      <c r="A186" s="9"/>
      <c r="B186" s="16"/>
      <c r="C186" s="135"/>
      <c r="D186" s="42"/>
      <c r="E186" s="42"/>
      <c r="F186" s="11"/>
      <c r="G186" s="69"/>
      <c r="H186" s="6"/>
      <c r="I186" s="6"/>
      <c r="J186" s="69"/>
    </row>
    <row r="187" spans="1:10" s="29" customFormat="1" x14ac:dyDescent="0.2">
      <c r="A187" s="9"/>
      <c r="B187" s="16"/>
      <c r="C187" s="140"/>
      <c r="D187" s="42"/>
      <c r="E187" s="69"/>
      <c r="F187" s="69"/>
      <c r="G187" s="69"/>
      <c r="H187" s="6"/>
      <c r="I187" s="6"/>
      <c r="J187" s="69"/>
    </row>
    <row r="188" spans="1:10" s="29" customFormat="1" x14ac:dyDescent="0.2">
      <c r="A188" s="9"/>
      <c r="B188" s="16"/>
      <c r="C188" s="135"/>
      <c r="D188" s="42"/>
      <c r="E188" s="42"/>
      <c r="F188" s="11"/>
      <c r="G188" s="69"/>
      <c r="H188" s="6"/>
      <c r="I188" s="6"/>
      <c r="J188" s="69"/>
    </row>
    <row r="189" spans="1:10" s="29" customFormat="1" x14ac:dyDescent="0.2">
      <c r="A189" s="9"/>
      <c r="B189" s="16"/>
      <c r="C189" s="135"/>
      <c r="D189" s="42"/>
      <c r="E189" s="42"/>
      <c r="F189" s="11"/>
      <c r="G189" s="69"/>
      <c r="H189" s="6"/>
      <c r="I189" s="6"/>
      <c r="J189" s="69"/>
    </row>
    <row r="190" spans="1:10" s="29" customFormat="1" x14ac:dyDescent="0.2">
      <c r="A190" s="9"/>
      <c r="B190" s="16"/>
      <c r="C190" s="140"/>
      <c r="D190" s="42"/>
      <c r="E190" s="69"/>
      <c r="F190" s="68"/>
      <c r="G190" s="69"/>
      <c r="H190" s="6"/>
      <c r="I190" s="6"/>
      <c r="J190" s="69"/>
    </row>
    <row r="191" spans="1:10" s="29" customFormat="1" x14ac:dyDescent="0.2">
      <c r="A191" s="9"/>
      <c r="B191" s="16"/>
      <c r="C191" s="135"/>
      <c r="D191" s="42"/>
      <c r="E191" s="42"/>
      <c r="F191" s="11"/>
      <c r="G191" s="69"/>
      <c r="H191" s="6"/>
      <c r="I191" s="6"/>
      <c r="J191" s="69"/>
    </row>
    <row r="192" spans="1:10" x14ac:dyDescent="0.2">
      <c r="A192" s="9"/>
      <c r="B192" s="16"/>
      <c r="C192" s="135"/>
      <c r="D192" s="42"/>
      <c r="E192" s="42"/>
      <c r="F192" s="11"/>
      <c r="G192" s="71"/>
      <c r="H192" s="71"/>
      <c r="I192" s="70"/>
      <c r="J192" s="71"/>
    </row>
    <row r="193" spans="1:10" s="29" customFormat="1" x14ac:dyDescent="0.2">
      <c r="A193" s="9"/>
      <c r="B193" s="72"/>
      <c r="C193" s="140"/>
      <c r="D193" s="69"/>
      <c r="E193" s="69"/>
      <c r="F193" s="15"/>
      <c r="G193" s="69"/>
      <c r="H193" s="6"/>
      <c r="I193" s="6"/>
      <c r="J193" s="69"/>
    </row>
    <row r="194" spans="1:10" s="29" customFormat="1" x14ac:dyDescent="0.2">
      <c r="A194" s="9"/>
      <c r="B194" s="16"/>
      <c r="C194" s="135"/>
      <c r="D194" s="42"/>
      <c r="E194" s="42"/>
      <c r="F194" s="11"/>
      <c r="G194" s="69"/>
      <c r="H194" s="6"/>
      <c r="I194" s="6"/>
      <c r="J194" s="69"/>
    </row>
    <row r="195" spans="1:10" s="29" customFormat="1" x14ac:dyDescent="0.2">
      <c r="A195" s="9"/>
      <c r="B195" s="72"/>
      <c r="C195" s="140"/>
      <c r="D195" s="69"/>
      <c r="E195" s="69"/>
      <c r="F195" s="15"/>
      <c r="G195" s="69"/>
      <c r="H195" s="6"/>
      <c r="I195" s="6"/>
      <c r="J195" s="69"/>
    </row>
    <row r="196" spans="1:10" s="29" customFormat="1" x14ac:dyDescent="0.2">
      <c r="A196" s="9"/>
      <c r="B196" s="72"/>
      <c r="C196" s="140"/>
      <c r="D196" s="69"/>
      <c r="E196" s="69"/>
      <c r="F196" s="15"/>
      <c r="G196" s="69"/>
      <c r="H196" s="6"/>
      <c r="I196" s="6"/>
      <c r="J196" s="69"/>
    </row>
    <row r="197" spans="1:10" s="29" customFormat="1" x14ac:dyDescent="0.2">
      <c r="A197" s="9"/>
      <c r="B197" s="16"/>
      <c r="C197" s="135"/>
      <c r="D197" s="42"/>
      <c r="E197" s="42"/>
      <c r="F197" s="11"/>
      <c r="G197" s="69"/>
      <c r="H197" s="6"/>
      <c r="I197" s="6"/>
      <c r="J197" s="69"/>
    </row>
    <row r="198" spans="1:10" s="29" customFormat="1" x14ac:dyDescent="0.2">
      <c r="A198" s="9"/>
      <c r="B198" s="16"/>
      <c r="C198" s="135"/>
      <c r="D198" s="42"/>
      <c r="E198" s="42"/>
      <c r="F198" s="11"/>
      <c r="G198" s="69"/>
      <c r="H198" s="6"/>
      <c r="I198" s="6"/>
      <c r="J198" s="69"/>
    </row>
    <row r="199" spans="1:10" s="29" customFormat="1" x14ac:dyDescent="0.2">
      <c r="A199" s="9"/>
      <c r="B199" s="16"/>
      <c r="C199" s="135"/>
      <c r="D199" s="42"/>
      <c r="E199" s="42"/>
      <c r="F199" s="11"/>
      <c r="G199" s="69"/>
      <c r="H199" s="6"/>
      <c r="I199" s="6"/>
      <c r="J199" s="69"/>
    </row>
    <row r="200" spans="1:10" s="29" customFormat="1" x14ac:dyDescent="0.2">
      <c r="A200" s="9"/>
      <c r="B200" s="16"/>
      <c r="C200" s="135"/>
      <c r="D200" s="42"/>
      <c r="E200" s="42"/>
      <c r="F200" s="11"/>
      <c r="G200" s="69"/>
      <c r="H200" s="6"/>
      <c r="I200" s="6"/>
      <c r="J200" s="69"/>
    </row>
    <row r="201" spans="1:10" s="29" customFormat="1" x14ac:dyDescent="0.2">
      <c r="A201" s="9"/>
      <c r="B201" s="16"/>
      <c r="C201" s="135"/>
      <c r="D201" s="42"/>
      <c r="E201" s="42"/>
      <c r="F201" s="11"/>
      <c r="G201" s="69"/>
      <c r="H201" s="6"/>
      <c r="I201" s="6"/>
      <c r="J201" s="69"/>
    </row>
    <row r="202" spans="1:10" s="29" customFormat="1" x14ac:dyDescent="0.2">
      <c r="A202" s="9"/>
      <c r="B202" s="72"/>
      <c r="C202" s="140"/>
      <c r="D202" s="69"/>
      <c r="E202" s="69"/>
      <c r="F202" s="15"/>
      <c r="G202" s="69"/>
      <c r="H202" s="6"/>
      <c r="I202" s="6"/>
      <c r="J202" s="69"/>
    </row>
    <row r="203" spans="1:10" s="29" customFormat="1" x14ac:dyDescent="0.2">
      <c r="A203" s="9"/>
      <c r="B203" s="16"/>
      <c r="C203" s="135"/>
      <c r="D203" s="42"/>
      <c r="E203" s="42"/>
      <c r="F203" s="11"/>
      <c r="G203" s="69"/>
      <c r="H203" s="6"/>
      <c r="I203" s="6"/>
      <c r="J203" s="69"/>
    </row>
    <row r="204" spans="1:10" s="29" customFormat="1" x14ac:dyDescent="0.2">
      <c r="A204" s="9"/>
      <c r="B204" s="72"/>
      <c r="C204" s="140"/>
      <c r="D204" s="69"/>
      <c r="E204" s="69"/>
      <c r="F204" s="15"/>
      <c r="G204" s="69"/>
      <c r="H204" s="6"/>
      <c r="I204" s="6"/>
      <c r="J204" s="69"/>
    </row>
    <row r="205" spans="1:10" s="29" customFormat="1" x14ac:dyDescent="0.2">
      <c r="A205" s="9"/>
      <c r="B205" s="72"/>
      <c r="C205" s="140"/>
      <c r="D205" s="69"/>
      <c r="E205" s="69"/>
      <c r="F205" s="15"/>
      <c r="G205" s="69"/>
      <c r="H205" s="6"/>
      <c r="I205" s="6"/>
      <c r="J205" s="69"/>
    </row>
    <row r="206" spans="1:10" s="29" customFormat="1" x14ac:dyDescent="0.2">
      <c r="A206" s="9"/>
      <c r="B206" s="72"/>
      <c r="C206" s="135"/>
      <c r="D206" s="42"/>
      <c r="E206" s="42"/>
      <c r="F206" s="11"/>
      <c r="G206" s="69"/>
      <c r="H206" s="6"/>
      <c r="I206" s="6"/>
      <c r="J206" s="69"/>
    </row>
    <row r="207" spans="1:10" s="29" customFormat="1" x14ac:dyDescent="0.2">
      <c r="A207" s="9"/>
      <c r="B207" s="72"/>
      <c r="C207" s="140"/>
      <c r="D207" s="69"/>
      <c r="E207" s="69"/>
      <c r="F207" s="15"/>
      <c r="G207" s="69"/>
      <c r="H207" s="6"/>
      <c r="I207" s="6"/>
      <c r="J207" s="69"/>
    </row>
    <row r="208" spans="1:10" s="29" customFormat="1" x14ac:dyDescent="0.2">
      <c r="A208" s="9"/>
      <c r="B208" s="16"/>
      <c r="C208" s="135"/>
      <c r="D208" s="42"/>
      <c r="E208" s="42"/>
      <c r="F208" s="11"/>
      <c r="G208" s="69"/>
      <c r="H208" s="6"/>
      <c r="I208" s="6"/>
      <c r="J208" s="69"/>
    </row>
    <row r="209" spans="1:10" s="29" customFormat="1" x14ac:dyDescent="0.2">
      <c r="A209" s="9"/>
      <c r="B209" s="72"/>
      <c r="C209" s="140"/>
      <c r="D209" s="69"/>
      <c r="E209" s="69"/>
      <c r="F209" s="15"/>
      <c r="G209" s="69"/>
      <c r="H209" s="6"/>
      <c r="I209" s="6"/>
      <c r="J209" s="69"/>
    </row>
    <row r="210" spans="1:10" s="29" customFormat="1" x14ac:dyDescent="0.2">
      <c r="A210" s="9"/>
      <c r="B210" s="72"/>
      <c r="C210" s="140"/>
      <c r="D210" s="69"/>
      <c r="E210" s="69"/>
      <c r="F210" s="15"/>
      <c r="G210" s="69"/>
      <c r="H210" s="6"/>
      <c r="I210" s="6"/>
      <c r="J210" s="69"/>
    </row>
    <row r="211" spans="1:10" s="29" customFormat="1" x14ac:dyDescent="0.2">
      <c r="A211" s="9"/>
      <c r="B211" s="72"/>
      <c r="C211" s="135"/>
      <c r="D211" s="42"/>
      <c r="E211" s="42"/>
      <c r="F211" s="11"/>
      <c r="G211" s="69"/>
      <c r="H211" s="6"/>
      <c r="I211" s="6"/>
      <c r="J211" s="69"/>
    </row>
    <row r="212" spans="1:10" s="29" customFormat="1" x14ac:dyDescent="0.2">
      <c r="A212" s="9"/>
      <c r="B212" s="72"/>
      <c r="C212" s="135"/>
      <c r="D212" s="42"/>
      <c r="E212" s="42"/>
      <c r="F212" s="11"/>
      <c r="G212" s="69"/>
      <c r="H212" s="6"/>
      <c r="I212" s="6"/>
      <c r="J212" s="69"/>
    </row>
    <row r="213" spans="1:10" s="29" customFormat="1" x14ac:dyDescent="0.2">
      <c r="A213" s="9"/>
      <c r="B213" s="72"/>
      <c r="C213" s="135"/>
      <c r="D213" s="42"/>
      <c r="E213" s="42"/>
      <c r="F213" s="11"/>
      <c r="G213" s="69"/>
      <c r="H213" s="6"/>
      <c r="I213" s="6"/>
      <c r="J213" s="69"/>
    </row>
    <row r="214" spans="1:10" s="29" customFormat="1" x14ac:dyDescent="0.2">
      <c r="A214" s="9"/>
      <c r="B214" s="72"/>
      <c r="C214" s="135"/>
      <c r="D214" s="42"/>
      <c r="E214" s="42"/>
      <c r="F214" s="11"/>
      <c r="G214" s="69"/>
      <c r="H214" s="6"/>
      <c r="I214" s="6"/>
      <c r="J214" s="69"/>
    </row>
    <row r="215" spans="1:10" s="29" customFormat="1" x14ac:dyDescent="0.2">
      <c r="A215" s="9"/>
      <c r="B215" s="72"/>
      <c r="C215" s="140"/>
      <c r="D215" s="69"/>
      <c r="E215" s="69"/>
      <c r="F215" s="15"/>
      <c r="G215" s="69"/>
      <c r="H215" s="6"/>
      <c r="I215" s="6"/>
      <c r="J215" s="69"/>
    </row>
    <row r="216" spans="1:10" s="29" customFormat="1" x14ac:dyDescent="0.2">
      <c r="A216" s="9"/>
      <c r="B216" s="72"/>
      <c r="C216" s="140"/>
      <c r="D216" s="69"/>
      <c r="E216" s="69"/>
      <c r="F216" s="15"/>
      <c r="G216" s="69"/>
      <c r="H216" s="6"/>
      <c r="I216" s="6"/>
      <c r="J216" s="69"/>
    </row>
    <row r="217" spans="1:10" s="29" customFormat="1" x14ac:dyDescent="0.2">
      <c r="A217" s="9"/>
      <c r="B217" s="16"/>
      <c r="C217" s="135"/>
      <c r="D217" s="42"/>
      <c r="E217" s="42"/>
      <c r="F217" s="11"/>
      <c r="G217" s="69"/>
      <c r="H217" s="6"/>
      <c r="I217" s="6"/>
      <c r="J217" s="69"/>
    </row>
    <row r="218" spans="1:10" s="29" customFormat="1" x14ac:dyDescent="0.2">
      <c r="A218" s="9"/>
      <c r="B218" s="72"/>
      <c r="C218" s="140"/>
      <c r="D218" s="69"/>
      <c r="E218" s="69"/>
      <c r="F218" s="15"/>
      <c r="G218" s="69"/>
      <c r="H218" s="6"/>
      <c r="I218" s="6"/>
      <c r="J218" s="69"/>
    </row>
    <row r="219" spans="1:10" x14ac:dyDescent="0.2">
      <c r="A219" s="9"/>
      <c r="B219" s="16"/>
      <c r="C219" s="135"/>
      <c r="D219" s="42"/>
      <c r="E219" s="42"/>
      <c r="F219" s="11"/>
      <c r="G219" s="11"/>
      <c r="H219" s="70"/>
      <c r="I219" s="70"/>
      <c r="J219" s="71"/>
    </row>
    <row r="220" spans="1:10" x14ac:dyDescent="0.2">
      <c r="A220" s="9"/>
      <c r="B220" s="16"/>
      <c r="C220" s="135"/>
      <c r="D220" s="42"/>
      <c r="E220" s="42"/>
      <c r="F220" s="11"/>
      <c r="G220" s="11"/>
      <c r="H220" s="70"/>
      <c r="I220" s="70"/>
      <c r="J220" s="71"/>
    </row>
    <row r="221" spans="1:10" s="29" customFormat="1" x14ac:dyDescent="0.2">
      <c r="A221" s="9"/>
      <c r="B221" s="72"/>
      <c r="C221" s="140"/>
      <c r="D221" s="69"/>
      <c r="E221" s="69"/>
      <c r="F221" s="15"/>
      <c r="G221" s="69"/>
      <c r="H221" s="6"/>
      <c r="I221" s="6"/>
      <c r="J221" s="69"/>
    </row>
    <row r="222" spans="1:10" s="29" customFormat="1" x14ac:dyDescent="0.2">
      <c r="A222" s="9"/>
      <c r="B222" s="16"/>
      <c r="C222" s="135"/>
      <c r="D222" s="42"/>
      <c r="E222" s="42"/>
      <c r="F222" s="11"/>
      <c r="G222" s="69"/>
      <c r="H222" s="6"/>
      <c r="I222" s="6"/>
      <c r="J222" s="69"/>
    </row>
    <row r="223" spans="1:10" s="29" customFormat="1" x14ac:dyDescent="0.2">
      <c r="A223" s="9"/>
      <c r="B223" s="72"/>
      <c r="C223" s="140"/>
      <c r="D223" s="69"/>
      <c r="E223" s="69"/>
      <c r="F223" s="15"/>
      <c r="G223" s="69"/>
      <c r="H223" s="6"/>
      <c r="I223" s="6"/>
      <c r="J223" s="69"/>
    </row>
    <row r="224" spans="1:10" x14ac:dyDescent="0.2">
      <c r="A224" s="9"/>
      <c r="B224" s="73"/>
      <c r="C224" s="140"/>
      <c r="D224" s="69"/>
      <c r="E224" s="69"/>
      <c r="F224" s="15"/>
      <c r="G224" s="71"/>
      <c r="H224" s="70"/>
      <c r="I224" s="70"/>
      <c r="J224" s="71"/>
    </row>
    <row r="225" spans="1:10" x14ac:dyDescent="0.2">
      <c r="A225" s="9"/>
      <c r="B225" s="16"/>
      <c r="C225" s="135"/>
      <c r="D225" s="42"/>
      <c r="E225" s="42"/>
      <c r="F225" s="11"/>
      <c r="G225" s="71"/>
      <c r="H225" s="70"/>
      <c r="I225" s="70"/>
      <c r="J225" s="71"/>
    </row>
    <row r="226" spans="1:10" x14ac:dyDescent="0.2">
      <c r="A226" s="9"/>
      <c r="B226" s="73"/>
      <c r="C226" s="140"/>
      <c r="D226" s="69"/>
      <c r="E226" s="69"/>
      <c r="F226" s="15"/>
      <c r="G226" s="71"/>
      <c r="H226" s="70"/>
      <c r="I226" s="70"/>
      <c r="J226" s="71"/>
    </row>
    <row r="227" spans="1:10" x14ac:dyDescent="0.2">
      <c r="A227" s="9"/>
      <c r="B227" s="16"/>
      <c r="C227" s="135"/>
      <c r="D227" s="42"/>
      <c r="E227" s="42"/>
      <c r="F227" s="11"/>
      <c r="G227" s="71"/>
      <c r="H227" s="70"/>
      <c r="I227" s="70"/>
      <c r="J227" s="71"/>
    </row>
    <row r="228" spans="1:10" x14ac:dyDescent="0.2">
      <c r="A228" s="9"/>
      <c r="B228" s="16"/>
      <c r="C228" s="135"/>
      <c r="D228" s="42"/>
      <c r="E228" s="42"/>
      <c r="F228" s="11"/>
      <c r="G228" s="71"/>
      <c r="H228" s="70"/>
      <c r="I228" s="70"/>
      <c r="J228" s="71"/>
    </row>
    <row r="229" spans="1:10" s="29" customFormat="1" x14ac:dyDescent="0.2">
      <c r="A229" s="9"/>
      <c r="B229" s="72"/>
      <c r="C229" s="140"/>
      <c r="D229" s="69"/>
      <c r="E229" s="69"/>
      <c r="F229" s="15"/>
      <c r="G229" s="69"/>
      <c r="H229" s="6"/>
      <c r="I229" s="6"/>
      <c r="J229" s="69"/>
    </row>
    <row r="230" spans="1:10" s="29" customFormat="1" x14ac:dyDescent="0.2">
      <c r="A230" s="9"/>
      <c r="B230" s="72"/>
      <c r="C230" s="140"/>
      <c r="D230" s="69"/>
      <c r="E230" s="69"/>
      <c r="F230" s="15"/>
      <c r="G230" s="69"/>
      <c r="H230" s="6"/>
      <c r="I230" s="6"/>
      <c r="J230" s="69"/>
    </row>
    <row r="231" spans="1:10" s="29" customFormat="1" x14ac:dyDescent="0.2">
      <c r="A231" s="9"/>
      <c r="B231" s="16"/>
      <c r="C231" s="135"/>
      <c r="D231" s="42"/>
      <c r="E231" s="42"/>
      <c r="F231" s="11"/>
      <c r="G231" s="69"/>
      <c r="H231" s="6"/>
      <c r="I231" s="6"/>
      <c r="J231" s="69"/>
    </row>
    <row r="232" spans="1:10" s="29" customFormat="1" x14ac:dyDescent="0.2">
      <c r="A232" s="9"/>
      <c r="B232" s="72"/>
      <c r="C232" s="140"/>
      <c r="D232" s="69"/>
      <c r="E232" s="69"/>
      <c r="F232" s="15"/>
      <c r="G232" s="69"/>
      <c r="H232" s="6"/>
      <c r="I232" s="6"/>
      <c r="J232" s="69"/>
    </row>
    <row r="233" spans="1:10" s="29" customFormat="1" x14ac:dyDescent="0.2">
      <c r="A233" s="9"/>
      <c r="B233" s="16"/>
      <c r="C233" s="135"/>
      <c r="D233" s="42"/>
      <c r="E233" s="42"/>
      <c r="F233" s="11"/>
      <c r="G233" s="69"/>
      <c r="H233" s="6"/>
      <c r="I233" s="6"/>
      <c r="J233" s="69"/>
    </row>
    <row r="234" spans="1:10" s="29" customFormat="1" x14ac:dyDescent="0.2">
      <c r="A234" s="9"/>
      <c r="B234" s="16"/>
      <c r="C234" s="135"/>
      <c r="D234" s="42"/>
      <c r="E234" s="42"/>
      <c r="F234" s="11"/>
      <c r="G234" s="69"/>
      <c r="H234" s="6"/>
      <c r="I234" s="6"/>
      <c r="J234" s="69"/>
    </row>
    <row r="235" spans="1:10" s="29" customFormat="1" x14ac:dyDescent="0.2">
      <c r="A235" s="9"/>
      <c r="B235" s="16"/>
      <c r="C235" s="135"/>
      <c r="D235" s="42"/>
      <c r="E235" s="42"/>
      <c r="F235" s="11"/>
      <c r="G235" s="69"/>
      <c r="H235" s="6"/>
      <c r="I235" s="6"/>
      <c r="J235" s="69"/>
    </row>
    <row r="236" spans="1:10" s="29" customFormat="1" x14ac:dyDescent="0.2">
      <c r="A236" s="9"/>
      <c r="B236" s="16"/>
      <c r="C236" s="135"/>
      <c r="D236" s="42"/>
      <c r="E236" s="42"/>
      <c r="F236" s="11"/>
      <c r="G236" s="69"/>
      <c r="H236" s="6"/>
      <c r="I236" s="6"/>
      <c r="J236" s="69"/>
    </row>
    <row r="237" spans="1:10" s="29" customFormat="1" x14ac:dyDescent="0.2">
      <c r="A237" s="9"/>
      <c r="B237" s="72"/>
      <c r="C237" s="140"/>
      <c r="D237" s="69"/>
      <c r="E237" s="69"/>
      <c r="F237" s="15"/>
      <c r="G237" s="69"/>
      <c r="H237" s="6"/>
      <c r="I237" s="6"/>
      <c r="J237" s="69"/>
    </row>
    <row r="238" spans="1:10" s="29" customFormat="1" x14ac:dyDescent="0.2">
      <c r="A238" s="9"/>
      <c r="B238" s="72"/>
      <c r="C238" s="140"/>
      <c r="D238" s="69"/>
      <c r="E238" s="69"/>
      <c r="F238" s="15"/>
      <c r="G238" s="69"/>
      <c r="H238" s="6"/>
      <c r="I238" s="6"/>
      <c r="J238" s="69"/>
    </row>
    <row r="239" spans="1:10" s="29" customFormat="1" x14ac:dyDescent="0.2">
      <c r="A239" s="9"/>
      <c r="B239" s="72"/>
      <c r="C239" s="135"/>
      <c r="D239" s="42"/>
      <c r="E239" s="42"/>
      <c r="F239" s="11"/>
      <c r="G239" s="69"/>
      <c r="H239" s="6"/>
      <c r="I239" s="6"/>
      <c r="J239" s="69"/>
    </row>
    <row r="240" spans="1:10" s="29" customFormat="1" x14ac:dyDescent="0.2">
      <c r="A240" s="9"/>
      <c r="B240" s="72"/>
      <c r="C240" s="140"/>
      <c r="D240" s="69"/>
      <c r="E240" s="69"/>
      <c r="F240" s="15"/>
      <c r="G240" s="69"/>
      <c r="H240" s="6"/>
      <c r="I240" s="6"/>
      <c r="J240" s="69"/>
    </row>
    <row r="241" spans="1:10" s="29" customFormat="1" x14ac:dyDescent="0.2">
      <c r="A241" s="9"/>
      <c r="B241" s="16"/>
      <c r="C241" s="135"/>
      <c r="D241" s="42"/>
      <c r="E241" s="42"/>
      <c r="F241" s="11"/>
      <c r="G241" s="69"/>
      <c r="H241" s="6"/>
      <c r="I241" s="6"/>
      <c r="J241" s="69"/>
    </row>
    <row r="242" spans="1:10" s="29" customFormat="1" x14ac:dyDescent="0.2">
      <c r="A242" s="9"/>
      <c r="B242" s="72"/>
      <c r="C242" s="140"/>
      <c r="D242" s="69"/>
      <c r="E242" s="69"/>
      <c r="F242" s="15"/>
      <c r="G242" s="69"/>
      <c r="H242" s="6"/>
      <c r="I242" s="6"/>
      <c r="J242" s="69"/>
    </row>
    <row r="243" spans="1:10" s="29" customFormat="1" x14ac:dyDescent="0.2">
      <c r="A243" s="9"/>
      <c r="B243" s="72"/>
      <c r="C243" s="140"/>
      <c r="D243" s="69"/>
      <c r="E243" s="69"/>
      <c r="F243" s="15"/>
      <c r="G243" s="69"/>
      <c r="H243" s="6"/>
      <c r="I243" s="6"/>
      <c r="J243" s="69"/>
    </row>
    <row r="244" spans="1:10" s="29" customFormat="1" x14ac:dyDescent="0.2">
      <c r="A244" s="9"/>
      <c r="B244" s="16"/>
      <c r="C244" s="135"/>
      <c r="D244" s="42"/>
      <c r="E244" s="42"/>
      <c r="F244" s="11"/>
      <c r="G244" s="69"/>
      <c r="H244" s="6"/>
      <c r="I244" s="6"/>
      <c r="J244" s="69"/>
    </row>
    <row r="245" spans="1:10" s="29" customFormat="1" x14ac:dyDescent="0.2">
      <c r="A245" s="9"/>
      <c r="B245" s="16"/>
      <c r="C245" s="135"/>
      <c r="D245" s="42"/>
      <c r="E245" s="42"/>
      <c r="F245" s="11"/>
      <c r="G245" s="69"/>
      <c r="H245" s="6"/>
      <c r="I245" s="6"/>
      <c r="J245" s="69"/>
    </row>
    <row r="246" spans="1:10" s="29" customFormat="1" x14ac:dyDescent="0.2">
      <c r="A246" s="9"/>
      <c r="B246" s="72"/>
      <c r="C246" s="140"/>
      <c r="D246" s="69"/>
      <c r="E246" s="69"/>
      <c r="F246" s="15"/>
      <c r="G246" s="69"/>
      <c r="H246" s="6"/>
      <c r="I246" s="6"/>
      <c r="J246" s="69"/>
    </row>
    <row r="247" spans="1:10" s="29" customFormat="1" x14ac:dyDescent="0.2">
      <c r="A247" s="9"/>
      <c r="B247" s="16"/>
      <c r="C247" s="135"/>
      <c r="D247" s="42"/>
      <c r="E247" s="42"/>
      <c r="F247" s="11"/>
      <c r="G247" s="69"/>
      <c r="H247" s="6"/>
      <c r="I247" s="6"/>
      <c r="J247" s="69"/>
    </row>
    <row r="248" spans="1:10" s="29" customFormat="1" x14ac:dyDescent="0.2">
      <c r="A248" s="9"/>
      <c r="B248" s="16"/>
      <c r="C248" s="135"/>
      <c r="D248" s="42"/>
      <c r="E248" s="42"/>
      <c r="F248" s="11"/>
      <c r="G248" s="69"/>
      <c r="H248" s="6"/>
      <c r="I248" s="6"/>
      <c r="J248" s="69"/>
    </row>
    <row r="249" spans="1:10" s="29" customFormat="1" x14ac:dyDescent="0.2">
      <c r="A249" s="9"/>
      <c r="B249" s="16"/>
      <c r="C249" s="135"/>
      <c r="D249" s="42"/>
      <c r="E249" s="42"/>
      <c r="F249" s="11"/>
      <c r="G249" s="69"/>
      <c r="H249" s="6"/>
      <c r="I249" s="6"/>
      <c r="J249" s="69"/>
    </row>
    <row r="250" spans="1:10" s="29" customFormat="1" x14ac:dyDescent="0.2">
      <c r="A250" s="9"/>
      <c r="B250" s="72"/>
      <c r="C250" s="140"/>
      <c r="D250" s="69"/>
      <c r="E250" s="69"/>
      <c r="F250" s="15"/>
      <c r="G250" s="69"/>
      <c r="H250" s="6"/>
      <c r="I250" s="6"/>
      <c r="J250" s="69"/>
    </row>
    <row r="251" spans="1:10" s="29" customFormat="1" x14ac:dyDescent="0.2">
      <c r="A251" s="9"/>
      <c r="B251" s="72"/>
      <c r="C251" s="140"/>
      <c r="D251" s="69"/>
      <c r="E251" s="69"/>
      <c r="F251" s="15"/>
      <c r="G251" s="69"/>
      <c r="H251" s="6"/>
      <c r="I251" s="6"/>
      <c r="J251" s="69"/>
    </row>
    <row r="252" spans="1:10" x14ac:dyDescent="0.2">
      <c r="A252" s="9"/>
      <c r="B252" s="16"/>
      <c r="C252" s="135"/>
      <c r="D252" s="42"/>
      <c r="E252" s="42"/>
      <c r="F252" s="11"/>
      <c r="G252" s="71"/>
      <c r="H252" s="70"/>
      <c r="I252" s="70"/>
      <c r="J252" s="71"/>
    </row>
    <row r="253" spans="1:10" x14ac:dyDescent="0.2">
      <c r="A253" s="9"/>
      <c r="B253" s="16"/>
      <c r="C253" s="135"/>
      <c r="D253" s="42"/>
      <c r="E253" s="42"/>
      <c r="F253" s="11"/>
      <c r="G253" s="71"/>
      <c r="H253" s="70"/>
      <c r="I253" s="70"/>
      <c r="J253" s="71"/>
    </row>
    <row r="254" spans="1:10" x14ac:dyDescent="0.2">
      <c r="A254" s="9"/>
      <c r="B254" s="16"/>
      <c r="C254" s="135"/>
      <c r="D254" s="42"/>
      <c r="E254" s="42"/>
      <c r="F254" s="11"/>
      <c r="G254" s="71"/>
      <c r="H254" s="70"/>
      <c r="I254" s="70"/>
      <c r="J254" s="71"/>
    </row>
    <row r="255" spans="1:10" s="29" customFormat="1" x14ac:dyDescent="0.2">
      <c r="A255" s="9"/>
      <c r="B255" s="72"/>
      <c r="C255" s="140"/>
      <c r="D255" s="69"/>
      <c r="E255" s="69"/>
      <c r="F255" s="15"/>
      <c r="G255" s="69"/>
      <c r="H255" s="6"/>
      <c r="I255" s="6"/>
      <c r="J255" s="69"/>
    </row>
    <row r="256" spans="1:10" s="29" customFormat="1" x14ac:dyDescent="0.2">
      <c r="A256" s="9"/>
      <c r="B256" s="72"/>
      <c r="C256" s="140"/>
      <c r="D256" s="69"/>
      <c r="E256" s="69"/>
      <c r="F256" s="15"/>
      <c r="G256" s="69"/>
      <c r="H256" s="6"/>
      <c r="I256" s="6"/>
      <c r="J256" s="69"/>
    </row>
    <row r="257" spans="1:10" s="29" customFormat="1" x14ac:dyDescent="0.2">
      <c r="A257" s="9"/>
      <c r="B257" s="16"/>
      <c r="C257" s="135"/>
      <c r="D257" s="42"/>
      <c r="E257" s="42"/>
      <c r="F257" s="11"/>
      <c r="G257" s="69"/>
      <c r="H257" s="6"/>
      <c r="I257" s="6"/>
      <c r="J257" s="69"/>
    </row>
    <row r="258" spans="1:10" s="29" customFormat="1" x14ac:dyDescent="0.2">
      <c r="A258" s="9"/>
      <c r="B258" s="16"/>
      <c r="C258" s="135"/>
      <c r="D258" s="42"/>
      <c r="E258" s="42"/>
      <c r="F258" s="11"/>
      <c r="G258" s="69"/>
      <c r="H258" s="6"/>
      <c r="I258" s="6"/>
      <c r="J258" s="69"/>
    </row>
    <row r="259" spans="1:10" s="29" customFormat="1" x14ac:dyDescent="0.2">
      <c r="A259" s="9"/>
      <c r="B259" s="72"/>
      <c r="C259" s="140"/>
      <c r="D259" s="69"/>
      <c r="E259" s="69"/>
      <c r="F259" s="15"/>
      <c r="G259" s="69"/>
      <c r="H259" s="6"/>
      <c r="I259" s="6"/>
      <c r="J259" s="69"/>
    </row>
    <row r="260" spans="1:10" s="29" customFormat="1" x14ac:dyDescent="0.2">
      <c r="A260" s="9"/>
      <c r="B260" s="16"/>
      <c r="C260" s="135"/>
      <c r="D260" s="42"/>
      <c r="E260" s="42"/>
      <c r="F260" s="11"/>
      <c r="G260" s="69"/>
      <c r="H260" s="6"/>
      <c r="I260" s="6"/>
      <c r="J260" s="69"/>
    </row>
    <row r="261" spans="1:10" s="29" customFormat="1" x14ac:dyDescent="0.2">
      <c r="A261" s="9"/>
      <c r="B261" s="72"/>
      <c r="C261" s="140"/>
      <c r="D261" s="69"/>
      <c r="E261" s="69"/>
      <c r="F261" s="15"/>
      <c r="G261" s="69"/>
      <c r="H261" s="6"/>
      <c r="I261" s="6"/>
      <c r="J261" s="69"/>
    </row>
    <row r="262" spans="1:10" s="29" customFormat="1" x14ac:dyDescent="0.2">
      <c r="A262" s="8"/>
      <c r="B262" s="16"/>
      <c r="C262" s="135"/>
      <c r="D262" s="42"/>
      <c r="E262" s="42"/>
      <c r="F262" s="11"/>
      <c r="G262" s="69"/>
      <c r="H262" s="6"/>
      <c r="I262" s="6"/>
      <c r="J262" s="69"/>
    </row>
    <row r="263" spans="1:10" s="29" customFormat="1" x14ac:dyDescent="0.2">
      <c r="A263" s="8"/>
      <c r="B263" s="16"/>
      <c r="C263" s="135"/>
      <c r="D263" s="42"/>
      <c r="E263" s="42"/>
      <c r="F263" s="11"/>
      <c r="G263" s="69"/>
      <c r="H263" s="6"/>
      <c r="I263" s="6"/>
      <c r="J263" s="69"/>
    </row>
    <row r="264" spans="1:10" s="29" customFormat="1" x14ac:dyDescent="0.2">
      <c r="A264" s="8"/>
      <c r="B264" s="16"/>
      <c r="C264" s="135"/>
      <c r="D264" s="42"/>
      <c r="E264" s="42"/>
      <c r="F264" s="11"/>
      <c r="G264" s="69"/>
      <c r="H264" s="6"/>
      <c r="I264" s="6"/>
      <c r="J264" s="69"/>
    </row>
    <row r="265" spans="1:10" s="29" customFormat="1" x14ac:dyDescent="0.2">
      <c r="A265" s="8"/>
      <c r="B265" s="16"/>
      <c r="C265" s="135"/>
      <c r="D265" s="42"/>
      <c r="E265" s="42"/>
      <c r="F265" s="11"/>
      <c r="G265" s="69"/>
      <c r="H265" s="6"/>
      <c r="I265" s="6"/>
      <c r="J265" s="69"/>
    </row>
    <row r="266" spans="1:10" s="29" customFormat="1" x14ac:dyDescent="0.2">
      <c r="A266" s="8"/>
      <c r="B266" s="16"/>
      <c r="C266" s="135"/>
      <c r="D266" s="42"/>
      <c r="E266" s="42"/>
      <c r="F266" s="11"/>
      <c r="G266" s="69"/>
      <c r="H266" s="6"/>
      <c r="I266" s="6"/>
      <c r="J266" s="69"/>
    </row>
    <row r="267" spans="1:10" s="29" customFormat="1" x14ac:dyDescent="0.2">
      <c r="A267" s="8"/>
      <c r="B267" s="72"/>
      <c r="C267" s="140"/>
      <c r="D267" s="69"/>
      <c r="E267" s="69"/>
      <c r="F267" s="15"/>
      <c r="G267" s="69"/>
      <c r="H267" s="6"/>
      <c r="I267" s="6"/>
      <c r="J267" s="69"/>
    </row>
    <row r="268" spans="1:10" s="29" customFormat="1" x14ac:dyDescent="0.2">
      <c r="A268" s="8"/>
      <c r="B268" s="16"/>
      <c r="C268" s="135"/>
      <c r="D268" s="42"/>
      <c r="E268" s="42"/>
      <c r="F268" s="11"/>
      <c r="G268" s="69"/>
      <c r="H268" s="6"/>
      <c r="I268" s="6"/>
      <c r="J268" s="69"/>
    </row>
    <row r="269" spans="1:10" s="29" customFormat="1" x14ac:dyDescent="0.2">
      <c r="A269" s="8"/>
      <c r="B269" s="72"/>
      <c r="C269" s="140"/>
      <c r="D269" s="69"/>
      <c r="E269" s="69"/>
      <c r="F269" s="15"/>
      <c r="G269" s="69"/>
      <c r="H269" s="6"/>
      <c r="I269" s="6"/>
      <c r="J269" s="69"/>
    </row>
    <row r="270" spans="1:10" x14ac:dyDescent="0.2">
      <c r="A270" s="8"/>
      <c r="B270" s="16"/>
      <c r="C270" s="140"/>
      <c r="D270" s="69"/>
      <c r="E270" s="69"/>
      <c r="F270" s="15"/>
      <c r="G270" s="71"/>
      <c r="H270" s="74"/>
      <c r="I270" s="70"/>
      <c r="J270" s="71"/>
    </row>
    <row r="271" spans="1:10" x14ac:dyDescent="0.2">
      <c r="A271" s="8"/>
      <c r="B271" s="16"/>
      <c r="C271" s="135"/>
      <c r="D271" s="42"/>
      <c r="E271" s="42"/>
      <c r="F271" s="11"/>
      <c r="G271" s="71"/>
      <c r="H271" s="70"/>
      <c r="I271" s="70"/>
      <c r="J271" s="71"/>
    </row>
    <row r="272" spans="1:10" x14ac:dyDescent="0.2">
      <c r="A272" s="8"/>
      <c r="B272" s="16"/>
      <c r="C272" s="140"/>
      <c r="D272" s="69"/>
      <c r="E272" s="69"/>
      <c r="F272" s="15"/>
      <c r="G272" s="71"/>
      <c r="H272" s="70"/>
      <c r="I272" s="70"/>
      <c r="J272" s="71"/>
    </row>
    <row r="273" spans="1:10" x14ac:dyDescent="0.2">
      <c r="A273" s="8"/>
      <c r="B273" s="16"/>
      <c r="C273" s="135"/>
      <c r="D273" s="42"/>
      <c r="E273" s="42"/>
      <c r="F273" s="11"/>
      <c r="G273" s="71"/>
      <c r="H273" s="71"/>
      <c r="I273" s="70"/>
      <c r="J273" s="71"/>
    </row>
    <row r="274" spans="1:10" x14ac:dyDescent="0.2">
      <c r="A274" s="8"/>
      <c r="B274" s="16"/>
      <c r="C274" s="140"/>
      <c r="D274" s="69"/>
      <c r="E274" s="69"/>
      <c r="F274" s="15"/>
      <c r="G274" s="71"/>
      <c r="H274" s="70"/>
      <c r="I274" s="70"/>
      <c r="J274" s="71"/>
    </row>
    <row r="275" spans="1:10" x14ac:dyDescent="0.2">
      <c r="A275" s="8"/>
      <c r="B275" s="16"/>
      <c r="C275" s="135"/>
      <c r="D275" s="42"/>
      <c r="E275" s="42"/>
      <c r="F275" s="11"/>
      <c r="G275" s="71"/>
      <c r="H275" s="70"/>
      <c r="I275" s="70"/>
      <c r="J275" s="71"/>
    </row>
    <row r="276" spans="1:10" x14ac:dyDescent="0.2">
      <c r="A276" s="8"/>
      <c r="B276" s="16"/>
      <c r="C276" s="140"/>
      <c r="D276" s="69"/>
      <c r="E276" s="69"/>
      <c r="F276" s="15"/>
      <c r="G276" s="71"/>
      <c r="H276" s="70"/>
      <c r="I276" s="70"/>
      <c r="J276" s="71"/>
    </row>
    <row r="277" spans="1:10" x14ac:dyDescent="0.2">
      <c r="A277" s="8"/>
      <c r="B277" s="16"/>
      <c r="C277" s="135"/>
      <c r="D277" s="42"/>
      <c r="E277" s="42"/>
      <c r="F277" s="11"/>
      <c r="G277" s="71"/>
      <c r="H277" s="70"/>
      <c r="I277" s="70"/>
      <c r="J277" s="71"/>
    </row>
    <row r="278" spans="1:10" x14ac:dyDescent="0.2">
      <c r="A278" s="8"/>
      <c r="B278" s="16"/>
      <c r="C278" s="135"/>
      <c r="D278" s="42"/>
      <c r="E278" s="42"/>
      <c r="F278" s="11"/>
      <c r="G278" s="75"/>
      <c r="H278" s="71"/>
      <c r="I278" s="71"/>
      <c r="J278" s="71"/>
    </row>
    <row r="279" spans="1:10" x14ac:dyDescent="0.2">
      <c r="A279" s="8"/>
      <c r="B279" s="16"/>
      <c r="C279" s="135"/>
      <c r="D279" s="42"/>
      <c r="E279" s="42"/>
      <c r="F279" s="11"/>
      <c r="G279" s="75"/>
      <c r="H279" s="71"/>
      <c r="I279" s="71"/>
      <c r="J279" s="71"/>
    </row>
    <row r="280" spans="1:10" x14ac:dyDescent="0.2">
      <c r="A280" s="8"/>
      <c r="B280" s="16"/>
      <c r="C280" s="135"/>
      <c r="D280" s="42"/>
      <c r="E280" s="42"/>
      <c r="F280" s="11"/>
      <c r="G280" s="75"/>
      <c r="H280" s="71"/>
      <c r="I280" s="71"/>
      <c r="J280" s="71"/>
    </row>
    <row r="281" spans="1:10" x14ac:dyDescent="0.2">
      <c r="A281" s="8"/>
      <c r="B281" s="16"/>
      <c r="C281" s="135"/>
      <c r="D281" s="42"/>
      <c r="E281" s="42"/>
      <c r="F281" s="11"/>
      <c r="G281" s="75"/>
      <c r="H281" s="71"/>
      <c r="I281" s="71"/>
      <c r="J281" s="71"/>
    </row>
    <row r="282" spans="1:10" x14ac:dyDescent="0.2">
      <c r="A282" s="8"/>
      <c r="B282" s="16"/>
      <c r="C282" s="140"/>
      <c r="D282" s="69"/>
      <c r="E282" s="69"/>
      <c r="F282" s="15"/>
      <c r="G282" s="71"/>
      <c r="H282" s="71"/>
      <c r="I282" s="71"/>
      <c r="J282" s="71"/>
    </row>
    <row r="283" spans="1:10" s="30" customFormat="1" x14ac:dyDescent="0.2">
      <c r="A283" s="8"/>
      <c r="B283" s="16"/>
      <c r="C283" s="135"/>
      <c r="D283" s="42"/>
      <c r="E283" s="42"/>
      <c r="F283" s="11"/>
      <c r="G283" s="76"/>
      <c r="H283" s="76"/>
      <c r="I283" s="76"/>
      <c r="J283" s="76"/>
    </row>
    <row r="284" spans="1:10" s="30" customFormat="1" x14ac:dyDescent="0.2">
      <c r="A284" s="8"/>
      <c r="B284" s="16"/>
      <c r="C284" s="140"/>
      <c r="D284" s="69"/>
      <c r="E284" s="69"/>
      <c r="F284" s="15"/>
      <c r="G284" s="76"/>
      <c r="H284" s="19"/>
      <c r="I284" s="19"/>
      <c r="J284" s="76"/>
    </row>
    <row r="285" spans="1:10" s="30" customFormat="1" x14ac:dyDescent="0.2">
      <c r="A285" s="12"/>
      <c r="B285" s="16"/>
      <c r="C285" s="140"/>
      <c r="D285" s="69"/>
      <c r="E285" s="69"/>
      <c r="F285" s="15"/>
      <c r="G285" s="76"/>
      <c r="H285" s="19"/>
      <c r="I285" s="19"/>
      <c r="J285" s="76"/>
    </row>
    <row r="286" spans="1:10" s="30" customFormat="1" x14ac:dyDescent="0.2">
      <c r="A286" s="8"/>
      <c r="B286" s="16"/>
      <c r="C286" s="135"/>
      <c r="D286" s="42"/>
      <c r="E286" s="42"/>
      <c r="F286" s="11"/>
      <c r="G286" s="76"/>
      <c r="H286" s="19"/>
      <c r="I286" s="19"/>
      <c r="J286" s="76"/>
    </row>
    <row r="287" spans="1:10" s="30" customFormat="1" x14ac:dyDescent="0.2">
      <c r="A287" s="12"/>
      <c r="B287" s="16"/>
      <c r="C287" s="140"/>
      <c r="D287" s="69"/>
      <c r="E287" s="69"/>
      <c r="F287" s="15"/>
      <c r="G287" s="76"/>
      <c r="H287" s="19"/>
      <c r="I287" s="19"/>
      <c r="J287" s="76"/>
    </row>
    <row r="288" spans="1:10" s="30" customFormat="1" x14ac:dyDescent="0.2">
      <c r="A288" s="8"/>
      <c r="B288" s="16"/>
      <c r="C288" s="135"/>
      <c r="D288" s="42"/>
      <c r="E288" s="42"/>
      <c r="F288" s="11"/>
      <c r="G288" s="76"/>
      <c r="H288" s="19"/>
      <c r="I288" s="19"/>
      <c r="J288" s="76"/>
    </row>
    <row r="289" spans="1:10" s="30" customFormat="1" x14ac:dyDescent="0.2">
      <c r="A289" s="12"/>
      <c r="B289" s="16"/>
      <c r="C289" s="140"/>
      <c r="D289" s="69"/>
      <c r="E289" s="69"/>
      <c r="F289" s="15"/>
      <c r="G289" s="76"/>
      <c r="H289" s="19"/>
      <c r="I289" s="19"/>
      <c r="J289" s="76"/>
    </row>
    <row r="290" spans="1:10" s="30" customFormat="1" x14ac:dyDescent="0.2">
      <c r="A290" s="12"/>
      <c r="B290" s="16"/>
      <c r="C290" s="140"/>
      <c r="D290" s="69"/>
      <c r="E290" s="69"/>
      <c r="F290" s="15"/>
      <c r="G290" s="76"/>
      <c r="H290" s="19"/>
      <c r="I290" s="19"/>
      <c r="J290" s="76"/>
    </row>
    <row r="291" spans="1:10" s="30" customFormat="1" x14ac:dyDescent="0.2">
      <c r="A291" s="8"/>
      <c r="B291" s="16"/>
      <c r="C291" s="135"/>
      <c r="D291" s="42"/>
      <c r="E291" s="42"/>
      <c r="F291" s="11"/>
      <c r="G291" s="76"/>
      <c r="H291" s="19"/>
      <c r="I291" s="19"/>
      <c r="J291" s="76"/>
    </row>
    <row r="292" spans="1:10" s="30" customFormat="1" x14ac:dyDescent="0.2">
      <c r="A292" s="8"/>
      <c r="B292" s="16"/>
      <c r="C292" s="135"/>
      <c r="D292" s="42"/>
      <c r="E292" s="42"/>
      <c r="F292" s="11"/>
      <c r="G292" s="76"/>
      <c r="H292" s="19"/>
      <c r="I292" s="19"/>
      <c r="J292" s="76"/>
    </row>
    <row r="293" spans="1:10" s="30" customFormat="1" x14ac:dyDescent="0.2">
      <c r="A293" s="12"/>
      <c r="B293" s="16"/>
      <c r="C293" s="140"/>
      <c r="D293" s="69"/>
      <c r="E293" s="69"/>
      <c r="F293" s="15"/>
      <c r="G293" s="76"/>
      <c r="H293" s="19"/>
      <c r="I293" s="19"/>
      <c r="J293" s="76"/>
    </row>
    <row r="294" spans="1:10" s="30" customFormat="1" x14ac:dyDescent="0.2">
      <c r="A294" s="8"/>
      <c r="B294" s="16"/>
      <c r="C294" s="135"/>
      <c r="D294" s="42"/>
      <c r="E294" s="42"/>
      <c r="F294" s="11"/>
      <c r="G294" s="76"/>
      <c r="H294" s="19"/>
      <c r="I294" s="19"/>
      <c r="J294" s="76"/>
    </row>
    <row r="295" spans="1:10" s="30" customFormat="1" x14ac:dyDescent="0.2">
      <c r="A295" s="12"/>
      <c r="B295" s="16"/>
      <c r="C295" s="140"/>
      <c r="D295" s="69"/>
      <c r="E295" s="69"/>
      <c r="F295" s="15"/>
      <c r="G295" s="76"/>
      <c r="H295" s="19"/>
      <c r="I295" s="19"/>
      <c r="J295" s="76"/>
    </row>
    <row r="296" spans="1:10" s="30" customFormat="1" x14ac:dyDescent="0.2">
      <c r="A296" s="12"/>
      <c r="B296" s="5"/>
      <c r="C296" s="135"/>
      <c r="D296" s="42"/>
      <c r="E296" s="42"/>
      <c r="F296" s="42"/>
      <c r="G296" s="76"/>
      <c r="H296" s="19"/>
      <c r="I296" s="19"/>
      <c r="J296" s="76"/>
    </row>
    <row r="297" spans="1:10" s="30" customFormat="1" x14ac:dyDescent="0.2">
      <c r="A297" s="12"/>
      <c r="B297" s="19"/>
      <c r="C297" s="152"/>
      <c r="D297" s="76"/>
      <c r="E297" s="76"/>
      <c r="F297" s="76"/>
      <c r="G297" s="76"/>
      <c r="H297" s="19"/>
      <c r="I297" s="19"/>
      <c r="J297" s="76"/>
    </row>
    <row r="298" spans="1:10" s="30" customFormat="1" x14ac:dyDescent="0.2">
      <c r="A298" s="12"/>
      <c r="B298" s="16"/>
      <c r="C298" s="140"/>
      <c r="D298" s="69"/>
      <c r="E298" s="69"/>
      <c r="F298" s="15"/>
      <c r="G298" s="76"/>
      <c r="H298" s="19"/>
      <c r="I298" s="19"/>
      <c r="J298" s="76"/>
    </row>
    <row r="299" spans="1:10" s="30" customFormat="1" x14ac:dyDescent="0.2">
      <c r="A299" s="8"/>
      <c r="B299" s="16"/>
      <c r="C299" s="135"/>
      <c r="D299" s="42"/>
      <c r="E299" s="42"/>
      <c r="F299" s="11"/>
      <c r="G299" s="76"/>
      <c r="H299" s="19"/>
      <c r="I299" s="19"/>
      <c r="J299" s="76"/>
    </row>
    <row r="300" spans="1:10" s="30" customFormat="1" x14ac:dyDescent="0.2">
      <c r="A300" s="12"/>
      <c r="B300" s="16"/>
      <c r="C300" s="140"/>
      <c r="D300" s="69"/>
      <c r="E300" s="69"/>
      <c r="F300" s="15"/>
      <c r="G300" s="76"/>
      <c r="H300" s="19"/>
      <c r="I300" s="19"/>
      <c r="J300" s="76"/>
    </row>
    <row r="301" spans="1:10" s="30" customFormat="1" x14ac:dyDescent="0.2">
      <c r="A301" s="12"/>
      <c r="B301" s="16"/>
      <c r="C301" s="140"/>
      <c r="D301" s="69"/>
      <c r="E301" s="69"/>
      <c r="F301" s="15"/>
      <c r="G301" s="76"/>
      <c r="H301" s="19"/>
      <c r="I301" s="19"/>
      <c r="J301" s="76"/>
    </row>
    <row r="302" spans="1:10" s="30" customFormat="1" x14ac:dyDescent="0.2">
      <c r="A302" s="8"/>
      <c r="B302" s="16"/>
      <c r="C302" s="135"/>
      <c r="D302" s="42"/>
      <c r="E302" s="42"/>
      <c r="F302" s="11"/>
      <c r="G302" s="76"/>
      <c r="H302" s="76"/>
      <c r="I302" s="19"/>
      <c r="J302" s="76"/>
    </row>
    <row r="303" spans="1:10" s="30" customFormat="1" x14ac:dyDescent="0.2">
      <c r="A303" s="8"/>
      <c r="B303" s="16"/>
      <c r="C303" s="135"/>
      <c r="D303" s="42"/>
      <c r="E303" s="42"/>
      <c r="F303" s="11"/>
      <c r="G303" s="76"/>
      <c r="H303" s="76"/>
      <c r="I303" s="19"/>
      <c r="J303" s="76"/>
    </row>
    <row r="304" spans="1:10" s="30" customFormat="1" x14ac:dyDescent="0.2">
      <c r="A304" s="12"/>
      <c r="B304" s="16"/>
      <c r="C304" s="140"/>
      <c r="D304" s="69"/>
      <c r="E304" s="69"/>
      <c r="F304" s="15"/>
      <c r="G304" s="76"/>
      <c r="H304" s="19"/>
      <c r="I304" s="19"/>
      <c r="J304" s="76"/>
    </row>
    <row r="305" spans="1:10" s="30" customFormat="1" x14ac:dyDescent="0.2">
      <c r="A305" s="12"/>
      <c r="B305" s="16"/>
      <c r="C305" s="140"/>
      <c r="D305" s="69"/>
      <c r="E305" s="69"/>
      <c r="F305" s="15"/>
      <c r="G305" s="76"/>
      <c r="H305" s="19"/>
      <c r="I305" s="19"/>
      <c r="J305" s="76"/>
    </row>
    <row r="306" spans="1:10" s="30" customFormat="1" x14ac:dyDescent="0.2">
      <c r="A306" s="8"/>
      <c r="B306" s="16"/>
      <c r="C306" s="135"/>
      <c r="D306" s="42"/>
      <c r="E306" s="42"/>
      <c r="F306" s="11"/>
      <c r="G306" s="76"/>
      <c r="H306" s="19"/>
      <c r="I306" s="19"/>
      <c r="J306" s="76"/>
    </row>
    <row r="307" spans="1:10" s="30" customFormat="1" x14ac:dyDescent="0.2">
      <c r="A307" s="12"/>
      <c r="B307" s="16"/>
      <c r="C307" s="135"/>
      <c r="D307" s="42"/>
      <c r="E307" s="42"/>
      <c r="F307" s="11"/>
      <c r="G307" s="76"/>
      <c r="H307" s="19"/>
      <c r="I307" s="19"/>
      <c r="J307" s="76"/>
    </row>
    <row r="308" spans="1:10" s="30" customFormat="1" x14ac:dyDescent="0.2">
      <c r="A308" s="12"/>
      <c r="B308" s="16"/>
      <c r="C308" s="140"/>
      <c r="D308" s="69"/>
      <c r="E308" s="69"/>
      <c r="F308" s="15"/>
      <c r="G308" s="76"/>
      <c r="H308" s="19"/>
      <c r="I308" s="19"/>
      <c r="J308" s="76"/>
    </row>
    <row r="309" spans="1:10" s="30" customFormat="1" x14ac:dyDescent="0.2">
      <c r="A309" s="12"/>
      <c r="B309" s="16"/>
      <c r="C309" s="140"/>
      <c r="D309" s="69"/>
      <c r="E309" s="69"/>
      <c r="F309" s="15"/>
      <c r="G309" s="76"/>
      <c r="H309" s="19"/>
      <c r="I309" s="19"/>
      <c r="J309" s="76"/>
    </row>
    <row r="310" spans="1:10" x14ac:dyDescent="0.2">
      <c r="A310" s="19"/>
      <c r="B310" s="5"/>
      <c r="C310" s="135"/>
      <c r="D310" s="69"/>
      <c r="E310" s="69"/>
      <c r="F310" s="69"/>
      <c r="G310" s="71"/>
      <c r="H310" s="71"/>
      <c r="I310" s="70"/>
      <c r="J310" s="71"/>
    </row>
    <row r="311" spans="1:10" x14ac:dyDescent="0.2">
      <c r="A311" s="70"/>
      <c r="B311" s="5"/>
      <c r="C311" s="135"/>
      <c r="D311" s="42"/>
      <c r="E311" s="42"/>
      <c r="F311" s="11"/>
      <c r="G311" s="71"/>
      <c r="H311" s="71"/>
      <c r="I311" s="5"/>
      <c r="J311" s="71"/>
    </row>
    <row r="312" spans="1:10" x14ac:dyDescent="0.2">
      <c r="A312" s="70"/>
      <c r="B312" s="5"/>
      <c r="C312" s="153"/>
      <c r="D312" s="42"/>
      <c r="E312" s="42"/>
      <c r="F312" s="11"/>
      <c r="G312" s="71"/>
      <c r="H312" s="71"/>
      <c r="I312" s="5"/>
      <c r="J312" s="71"/>
    </row>
    <row r="313" spans="1:10" x14ac:dyDescent="0.2">
      <c r="A313" s="70"/>
      <c r="B313" s="5"/>
      <c r="C313" s="153"/>
      <c r="D313" s="42"/>
      <c r="E313" s="42"/>
      <c r="F313" s="11"/>
      <c r="G313" s="71"/>
      <c r="H313" s="71"/>
      <c r="I313" s="5"/>
      <c r="J313" s="71"/>
    </row>
    <row r="314" spans="1:10" ht="15" x14ac:dyDescent="0.2">
      <c r="A314" s="10"/>
      <c r="B314" s="5"/>
      <c r="C314" s="153"/>
      <c r="D314" s="71"/>
      <c r="E314" s="11"/>
      <c r="F314" s="33"/>
      <c r="G314" s="71"/>
      <c r="H314" s="71"/>
      <c r="I314" s="70"/>
      <c r="J314" s="71"/>
    </row>
    <row r="315" spans="1:10" x14ac:dyDescent="0.2">
      <c r="A315" s="6"/>
      <c r="B315" s="25"/>
      <c r="C315" s="154"/>
      <c r="D315" s="71"/>
      <c r="E315" s="28"/>
      <c r="F315" s="34"/>
      <c r="G315" s="71"/>
      <c r="H315" s="71"/>
      <c r="I315" s="70"/>
      <c r="J315" s="71"/>
    </row>
    <row r="316" spans="1:10" x14ac:dyDescent="0.2">
      <c r="A316" s="12"/>
      <c r="B316" s="25"/>
      <c r="C316" s="154"/>
      <c r="D316" s="70"/>
      <c r="E316" s="28"/>
      <c r="F316" s="34"/>
      <c r="G316" s="71"/>
      <c r="H316" s="71"/>
      <c r="I316" s="70"/>
      <c r="J316" s="71"/>
    </row>
    <row r="317" spans="1:10" x14ac:dyDescent="0.2">
      <c r="A317" s="12"/>
      <c r="B317" s="25"/>
      <c r="C317" s="154"/>
      <c r="D317" s="70"/>
      <c r="E317" s="28"/>
      <c r="F317" s="34"/>
      <c r="G317" s="71"/>
      <c r="H317" s="71"/>
      <c r="I317" s="70"/>
      <c r="J317" s="71"/>
    </row>
    <row r="318" spans="1:10" x14ac:dyDescent="0.2">
      <c r="A318" s="12"/>
      <c r="B318" s="25"/>
      <c r="C318" s="154"/>
      <c r="D318" s="70"/>
      <c r="E318" s="28"/>
      <c r="F318" s="34"/>
      <c r="G318" s="71"/>
      <c r="H318" s="71"/>
      <c r="I318" s="70"/>
      <c r="J318" s="71"/>
    </row>
    <row r="319" spans="1:10" x14ac:dyDescent="0.2">
      <c r="A319" s="12"/>
      <c r="B319" s="25"/>
      <c r="C319" s="154"/>
      <c r="D319" s="70"/>
      <c r="E319" s="28"/>
      <c r="F319" s="34"/>
      <c r="G319" s="71"/>
      <c r="H319" s="71"/>
      <c r="I319" s="70"/>
      <c r="J319" s="71"/>
    </row>
    <row r="320" spans="1:10" x14ac:dyDescent="0.2">
      <c r="A320" s="12"/>
      <c r="B320" s="25"/>
      <c r="C320" s="154"/>
      <c r="D320" s="70"/>
      <c r="E320" s="28"/>
      <c r="F320" s="34"/>
      <c r="G320" s="71"/>
      <c r="H320" s="71"/>
      <c r="I320" s="70"/>
      <c r="J320" s="71"/>
    </row>
    <row r="321" spans="1:10" x14ac:dyDescent="0.2">
      <c r="A321" s="12"/>
      <c r="B321" s="16"/>
      <c r="C321" s="153"/>
      <c r="D321" s="71"/>
      <c r="E321" s="11"/>
      <c r="F321" s="11"/>
      <c r="G321" s="71"/>
      <c r="H321" s="70"/>
      <c r="I321" s="70"/>
      <c r="J321" s="71"/>
    </row>
    <row r="322" spans="1:10" x14ac:dyDescent="0.2">
      <c r="A322" s="9"/>
      <c r="B322" s="16"/>
      <c r="C322" s="153"/>
      <c r="D322" s="11"/>
      <c r="E322" s="11"/>
      <c r="F322" s="11"/>
      <c r="G322" s="126"/>
      <c r="H322" s="70"/>
      <c r="I322" s="70"/>
      <c r="J322" s="71"/>
    </row>
    <row r="323" spans="1:10" x14ac:dyDescent="0.2">
      <c r="A323" s="9"/>
      <c r="B323" s="16"/>
      <c r="C323" s="153"/>
      <c r="D323" s="11"/>
      <c r="E323" s="11"/>
      <c r="F323" s="11"/>
      <c r="G323" s="126"/>
      <c r="H323" s="70"/>
      <c r="I323" s="70"/>
      <c r="J323" s="71"/>
    </row>
    <row r="324" spans="1:10" x14ac:dyDescent="0.2">
      <c r="A324" s="9"/>
      <c r="B324" s="16"/>
      <c r="C324" s="153"/>
      <c r="D324" s="11"/>
      <c r="E324" s="11"/>
      <c r="F324" s="11"/>
      <c r="G324" s="71"/>
      <c r="H324" s="70"/>
      <c r="I324" s="70"/>
      <c r="J324" s="71"/>
    </row>
    <row r="325" spans="1:10" x14ac:dyDescent="0.2">
      <c r="A325" s="9"/>
      <c r="B325" s="16"/>
      <c r="C325" s="153"/>
      <c r="D325" s="11"/>
      <c r="E325" s="11"/>
      <c r="F325" s="11"/>
      <c r="G325" s="71"/>
      <c r="H325" s="70"/>
      <c r="I325" s="70"/>
      <c r="J325" s="71"/>
    </row>
    <row r="326" spans="1:10" x14ac:dyDescent="0.2">
      <c r="A326" s="9"/>
      <c r="B326" s="16"/>
      <c r="C326" s="153"/>
      <c r="D326" s="11"/>
      <c r="E326" s="11"/>
      <c r="F326" s="11"/>
      <c r="G326" s="71"/>
      <c r="H326" s="70"/>
      <c r="I326" s="70"/>
      <c r="J326" s="71"/>
    </row>
    <row r="327" spans="1:10" x14ac:dyDescent="0.2">
      <c r="A327" s="9"/>
      <c r="B327" s="35"/>
      <c r="C327" s="155"/>
      <c r="D327" s="43"/>
      <c r="E327" s="43"/>
      <c r="F327" s="15"/>
      <c r="G327" s="71"/>
      <c r="H327" s="70"/>
      <c r="I327" s="70"/>
      <c r="J327" s="71"/>
    </row>
    <row r="328" spans="1:10" x14ac:dyDescent="0.2">
      <c r="A328" s="9"/>
      <c r="B328" s="16"/>
      <c r="C328" s="153"/>
      <c r="D328" s="11"/>
      <c r="E328" s="11"/>
      <c r="F328" s="11"/>
      <c r="G328" s="71"/>
      <c r="H328" s="71"/>
      <c r="I328" s="70"/>
      <c r="J328" s="71"/>
    </row>
    <row r="329" spans="1:10" x14ac:dyDescent="0.2">
      <c r="A329" s="9"/>
      <c r="B329" s="35"/>
      <c r="C329" s="155"/>
      <c r="D329" s="32"/>
      <c r="E329" s="32"/>
      <c r="F329" s="15"/>
      <c r="G329" s="71"/>
      <c r="H329" s="70"/>
      <c r="I329" s="70"/>
      <c r="J329" s="71"/>
    </row>
    <row r="330" spans="1:10" x14ac:dyDescent="0.2">
      <c r="A330" s="9"/>
      <c r="B330" s="35"/>
      <c r="C330" s="153"/>
      <c r="D330" s="31"/>
      <c r="E330" s="31"/>
      <c r="F330" s="11"/>
      <c r="G330" s="71"/>
      <c r="H330" s="70"/>
      <c r="I330" s="19"/>
      <c r="J330" s="76"/>
    </row>
    <row r="331" spans="1:10" x14ac:dyDescent="0.2">
      <c r="A331" s="9"/>
      <c r="B331" s="35"/>
      <c r="C331" s="153"/>
      <c r="D331" s="31"/>
      <c r="E331" s="31"/>
      <c r="F331" s="11"/>
      <c r="G331" s="71"/>
      <c r="H331" s="70"/>
      <c r="I331" s="70"/>
      <c r="J331" s="71"/>
    </row>
    <row r="332" spans="1:10" x14ac:dyDescent="0.2">
      <c r="A332" s="9"/>
      <c r="B332" s="35"/>
      <c r="C332" s="156"/>
      <c r="D332" s="32"/>
      <c r="E332" s="32"/>
      <c r="F332" s="15"/>
      <c r="G332" s="71"/>
      <c r="H332" s="70"/>
      <c r="I332" s="70"/>
      <c r="J332" s="71"/>
    </row>
    <row r="333" spans="1:10" x14ac:dyDescent="0.2">
      <c r="A333" s="9"/>
      <c r="B333" s="16"/>
      <c r="C333" s="140"/>
      <c r="D333" s="14"/>
      <c r="E333" s="14"/>
      <c r="F333" s="15"/>
      <c r="G333" s="71"/>
      <c r="H333" s="70"/>
      <c r="I333" s="70"/>
      <c r="J333" s="71"/>
    </row>
    <row r="334" spans="1:10" x14ac:dyDescent="0.2">
      <c r="A334" s="9"/>
      <c r="B334" s="16"/>
      <c r="C334" s="135"/>
      <c r="D334" s="13"/>
      <c r="E334" s="13"/>
      <c r="F334" s="11"/>
      <c r="G334" s="71"/>
      <c r="H334" s="70"/>
      <c r="I334" s="70"/>
      <c r="J334" s="71"/>
    </row>
    <row r="335" spans="1:10" x14ac:dyDescent="0.2">
      <c r="A335" s="9"/>
      <c r="B335" s="16"/>
      <c r="C335" s="135"/>
      <c r="D335" s="13"/>
      <c r="E335" s="13"/>
      <c r="F335" s="11"/>
      <c r="G335" s="71"/>
      <c r="H335" s="70"/>
      <c r="I335" s="70"/>
      <c r="J335" s="71"/>
    </row>
    <row r="336" spans="1:10" x14ac:dyDescent="0.2">
      <c r="A336" s="9"/>
      <c r="B336" s="16"/>
      <c r="C336" s="135"/>
      <c r="D336" s="13"/>
      <c r="E336" s="13"/>
      <c r="F336" s="11"/>
      <c r="G336" s="71"/>
      <c r="H336" s="70"/>
      <c r="I336" s="70"/>
      <c r="J336" s="71"/>
    </row>
    <row r="337" spans="1:10" x14ac:dyDescent="0.2">
      <c r="A337" s="9"/>
      <c r="B337" s="16"/>
      <c r="C337" s="135"/>
      <c r="D337" s="13"/>
      <c r="E337" s="13"/>
      <c r="F337" s="11"/>
      <c r="G337" s="71"/>
      <c r="H337" s="70"/>
      <c r="I337" s="70"/>
      <c r="J337" s="71"/>
    </row>
    <row r="338" spans="1:10" x14ac:dyDescent="0.2">
      <c r="A338" s="9"/>
      <c r="B338" s="16"/>
      <c r="C338" s="135"/>
      <c r="D338" s="13"/>
      <c r="E338" s="13"/>
      <c r="F338" s="11"/>
      <c r="G338" s="71"/>
      <c r="H338" s="70"/>
      <c r="I338" s="70"/>
      <c r="J338" s="71"/>
    </row>
    <row r="339" spans="1:10" x14ac:dyDescent="0.2">
      <c r="A339" s="9"/>
      <c r="B339" s="16"/>
      <c r="C339" s="135"/>
      <c r="D339" s="13"/>
      <c r="E339" s="13"/>
      <c r="F339" s="11"/>
      <c r="G339" s="71"/>
      <c r="H339" s="70"/>
      <c r="I339" s="70"/>
      <c r="J339" s="71"/>
    </row>
    <row r="340" spans="1:10" x14ac:dyDescent="0.2">
      <c r="A340" s="9"/>
      <c r="B340" s="16"/>
      <c r="C340" s="135"/>
      <c r="D340" s="13"/>
      <c r="E340" s="13"/>
      <c r="F340" s="11"/>
      <c r="G340" s="71"/>
      <c r="H340" s="70"/>
      <c r="I340" s="70"/>
      <c r="J340" s="71"/>
    </row>
    <row r="341" spans="1:10" x14ac:dyDescent="0.2">
      <c r="A341" s="9"/>
      <c r="B341" s="16"/>
      <c r="C341" s="135"/>
      <c r="D341" s="13"/>
      <c r="E341" s="13"/>
      <c r="F341" s="11"/>
      <c r="G341" s="71"/>
      <c r="H341" s="70"/>
      <c r="I341" s="70"/>
      <c r="J341" s="71"/>
    </row>
    <row r="342" spans="1:10" x14ac:dyDescent="0.2">
      <c r="A342" s="9"/>
      <c r="B342" s="16"/>
      <c r="C342" s="135"/>
      <c r="D342" s="13"/>
      <c r="E342" s="13"/>
      <c r="F342" s="11"/>
      <c r="G342" s="71"/>
      <c r="H342" s="70"/>
      <c r="I342" s="70"/>
      <c r="J342" s="71"/>
    </row>
    <row r="343" spans="1:10" x14ac:dyDescent="0.2">
      <c r="A343" s="9"/>
      <c r="B343" s="16"/>
      <c r="C343" s="135"/>
      <c r="D343" s="13"/>
      <c r="E343" s="13"/>
      <c r="F343" s="11"/>
      <c r="G343" s="71"/>
      <c r="H343" s="70"/>
      <c r="I343" s="70"/>
      <c r="J343" s="71"/>
    </row>
    <row r="344" spans="1:10" x14ac:dyDescent="0.2">
      <c r="A344" s="9"/>
      <c r="B344" s="16"/>
      <c r="C344" s="135"/>
      <c r="D344" s="13"/>
      <c r="E344" s="13"/>
      <c r="F344" s="11"/>
      <c r="G344" s="71"/>
      <c r="H344" s="70"/>
      <c r="I344" s="70"/>
      <c r="J344" s="71"/>
    </row>
    <row r="345" spans="1:10" x14ac:dyDescent="0.2">
      <c r="A345" s="9"/>
      <c r="B345" s="16"/>
      <c r="C345" s="135"/>
      <c r="D345" s="13"/>
      <c r="E345" s="13"/>
      <c r="F345" s="11"/>
      <c r="G345" s="71"/>
      <c r="H345" s="70"/>
      <c r="I345" s="70"/>
      <c r="J345" s="71"/>
    </row>
    <row r="346" spans="1:10" x14ac:dyDescent="0.2">
      <c r="A346" s="9"/>
      <c r="B346" s="16"/>
      <c r="C346" s="135"/>
      <c r="D346" s="13"/>
      <c r="E346" s="13"/>
      <c r="F346" s="11"/>
      <c r="G346" s="71"/>
      <c r="H346" s="70"/>
      <c r="I346" s="70"/>
      <c r="J346" s="71"/>
    </row>
    <row r="347" spans="1:10" x14ac:dyDescent="0.2">
      <c r="A347" s="9"/>
      <c r="B347" s="16"/>
      <c r="C347" s="135"/>
      <c r="D347" s="13"/>
      <c r="E347" s="13"/>
      <c r="F347" s="11"/>
      <c r="G347" s="71"/>
      <c r="H347" s="70"/>
      <c r="I347" s="70"/>
      <c r="J347" s="71"/>
    </row>
    <row r="348" spans="1:10" x14ac:dyDescent="0.2">
      <c r="A348" s="9"/>
      <c r="B348" s="16"/>
      <c r="C348" s="135"/>
      <c r="D348" s="13"/>
      <c r="E348" s="13"/>
      <c r="F348" s="11"/>
      <c r="G348" s="71"/>
      <c r="H348" s="70"/>
      <c r="I348" s="70"/>
      <c r="J348" s="71"/>
    </row>
    <row r="349" spans="1:10" x14ac:dyDescent="0.2">
      <c r="A349" s="9"/>
      <c r="B349" s="16"/>
      <c r="C349" s="135"/>
      <c r="D349" s="13"/>
      <c r="E349" s="13"/>
      <c r="F349" s="11"/>
      <c r="G349" s="71"/>
      <c r="H349" s="70"/>
      <c r="I349" s="70"/>
      <c r="J349" s="71"/>
    </row>
    <row r="350" spans="1:10" x14ac:dyDescent="0.2">
      <c r="A350" s="9"/>
      <c r="B350" s="16"/>
      <c r="C350" s="140"/>
      <c r="D350" s="14"/>
      <c r="E350" s="14"/>
      <c r="F350" s="15"/>
      <c r="G350" s="71"/>
      <c r="H350" s="70"/>
      <c r="I350" s="70"/>
      <c r="J350" s="71"/>
    </row>
    <row r="351" spans="1:10" x14ac:dyDescent="0.2">
      <c r="A351" s="9"/>
      <c r="B351" s="16"/>
      <c r="C351" s="135"/>
      <c r="D351" s="13"/>
      <c r="E351" s="13"/>
      <c r="F351" s="11"/>
      <c r="G351" s="71"/>
      <c r="H351" s="70"/>
      <c r="I351" s="70"/>
      <c r="J351" s="71"/>
    </row>
    <row r="352" spans="1:10" x14ac:dyDescent="0.2">
      <c r="A352" s="17"/>
      <c r="B352" s="16"/>
      <c r="C352" s="140"/>
      <c r="D352" s="14"/>
      <c r="E352" s="14"/>
      <c r="F352" s="15"/>
      <c r="G352" s="71"/>
      <c r="H352" s="70"/>
      <c r="I352" s="70"/>
      <c r="J352" s="71"/>
    </row>
    <row r="353" spans="1:10" x14ac:dyDescent="0.2">
      <c r="A353" s="9"/>
      <c r="B353" s="16"/>
      <c r="C353" s="135"/>
      <c r="D353" s="13"/>
      <c r="E353" s="13"/>
      <c r="F353" s="11"/>
      <c r="G353" s="71"/>
      <c r="H353" s="70"/>
      <c r="I353" s="70"/>
      <c r="J353" s="71"/>
    </row>
    <row r="354" spans="1:10" x14ac:dyDescent="0.2">
      <c r="A354" s="9"/>
      <c r="B354" s="16"/>
      <c r="C354" s="135"/>
      <c r="D354" s="13"/>
      <c r="E354" s="13"/>
      <c r="F354" s="11"/>
      <c r="G354" s="71"/>
      <c r="H354" s="70"/>
      <c r="I354" s="70"/>
      <c r="J354" s="71"/>
    </row>
    <row r="355" spans="1:10" x14ac:dyDescent="0.2">
      <c r="A355" s="9"/>
      <c r="B355" s="16"/>
      <c r="C355" s="140"/>
      <c r="D355" s="14"/>
      <c r="E355" s="14"/>
      <c r="F355" s="15"/>
      <c r="G355" s="71"/>
      <c r="H355" s="70"/>
      <c r="I355" s="70"/>
      <c r="J355" s="71"/>
    </row>
    <row r="356" spans="1:10" x14ac:dyDescent="0.2">
      <c r="A356" s="9"/>
      <c r="B356" s="16"/>
      <c r="C356" s="135"/>
      <c r="D356" s="13"/>
      <c r="E356" s="13"/>
      <c r="F356" s="11"/>
      <c r="G356" s="71"/>
      <c r="H356" s="70"/>
      <c r="I356" s="70"/>
      <c r="J356" s="71"/>
    </row>
    <row r="357" spans="1:10" x14ac:dyDescent="0.2">
      <c r="A357" s="9"/>
      <c r="B357" s="16"/>
      <c r="C357" s="140"/>
      <c r="D357" s="14"/>
      <c r="E357" s="14"/>
      <c r="F357" s="15"/>
      <c r="G357" s="71"/>
      <c r="H357" s="70"/>
      <c r="I357" s="70"/>
      <c r="J357" s="71"/>
    </row>
    <row r="358" spans="1:10" x14ac:dyDescent="0.2">
      <c r="A358" s="9"/>
      <c r="B358" s="16"/>
      <c r="C358" s="135"/>
      <c r="D358" s="13"/>
      <c r="E358" s="13"/>
      <c r="F358" s="11"/>
      <c r="G358" s="71"/>
      <c r="H358" s="70"/>
      <c r="I358" s="70"/>
      <c r="J358" s="71"/>
    </row>
    <row r="359" spans="1:10" x14ac:dyDescent="0.2">
      <c r="A359" s="9"/>
      <c r="B359" s="16"/>
      <c r="C359" s="140"/>
      <c r="D359" s="14"/>
      <c r="E359" s="14"/>
      <c r="F359" s="15"/>
      <c r="G359" s="71"/>
      <c r="H359" s="70"/>
      <c r="I359" s="70"/>
      <c r="J359" s="71"/>
    </row>
    <row r="360" spans="1:10" x14ac:dyDescent="0.2">
      <c r="A360" s="9"/>
      <c r="B360" s="35"/>
      <c r="C360" s="140"/>
      <c r="D360" s="14"/>
      <c r="E360" s="14"/>
      <c r="F360" s="15"/>
      <c r="G360" s="71"/>
      <c r="H360" s="70"/>
      <c r="I360" s="70"/>
      <c r="J360" s="71"/>
    </row>
    <row r="361" spans="1:10" x14ac:dyDescent="0.2">
      <c r="A361" s="9"/>
      <c r="B361" s="16"/>
      <c r="C361" s="135"/>
      <c r="D361" s="13"/>
      <c r="E361" s="13"/>
      <c r="F361" s="11"/>
      <c r="G361" s="71"/>
      <c r="H361" s="70"/>
      <c r="I361" s="70"/>
      <c r="J361" s="71"/>
    </row>
    <row r="362" spans="1:10" x14ac:dyDescent="0.2">
      <c r="A362" s="9"/>
      <c r="B362" s="16"/>
      <c r="C362" s="135"/>
      <c r="D362" s="13"/>
      <c r="E362" s="13"/>
      <c r="F362" s="11"/>
      <c r="G362" s="71"/>
      <c r="H362" s="70"/>
      <c r="I362" s="70"/>
      <c r="J362" s="71"/>
    </row>
    <row r="363" spans="1:10" x14ac:dyDescent="0.2">
      <c r="A363" s="9"/>
      <c r="B363" s="16"/>
      <c r="C363" s="135"/>
      <c r="D363" s="13"/>
      <c r="E363" s="13"/>
      <c r="F363" s="11"/>
      <c r="G363" s="71"/>
      <c r="H363" s="70"/>
      <c r="I363" s="70"/>
      <c r="J363" s="71"/>
    </row>
    <row r="364" spans="1:10" x14ac:dyDescent="0.2">
      <c r="A364" s="9"/>
      <c r="B364" s="16"/>
      <c r="C364" s="135"/>
      <c r="D364" s="13"/>
      <c r="E364" s="13"/>
      <c r="F364" s="11"/>
      <c r="G364" s="71"/>
      <c r="H364" s="70"/>
      <c r="I364" s="70"/>
      <c r="J364" s="71"/>
    </row>
    <row r="365" spans="1:10" x14ac:dyDescent="0.2">
      <c r="A365" s="9"/>
      <c r="B365" s="16"/>
      <c r="C365" s="135"/>
      <c r="D365" s="13"/>
      <c r="E365" s="13"/>
      <c r="F365" s="11"/>
      <c r="G365" s="71"/>
      <c r="H365" s="70"/>
      <c r="I365" s="70"/>
      <c r="J365" s="71"/>
    </row>
    <row r="366" spans="1:10" x14ac:dyDescent="0.2">
      <c r="A366" s="9"/>
      <c r="B366" s="16"/>
      <c r="C366" s="135"/>
      <c r="D366" s="13"/>
      <c r="E366" s="13"/>
      <c r="F366" s="11"/>
      <c r="G366" s="71"/>
      <c r="H366" s="70"/>
      <c r="I366" s="70"/>
      <c r="J366" s="71"/>
    </row>
    <row r="367" spans="1:10" x14ac:dyDescent="0.2">
      <c r="A367" s="9"/>
      <c r="B367" s="16"/>
      <c r="C367" s="135"/>
      <c r="D367" s="13"/>
      <c r="E367" s="13"/>
      <c r="F367" s="11"/>
      <c r="G367" s="71"/>
      <c r="H367" s="70"/>
      <c r="I367" s="70"/>
      <c r="J367" s="71"/>
    </row>
    <row r="368" spans="1:10" x14ac:dyDescent="0.2">
      <c r="A368" s="9"/>
      <c r="B368" s="16"/>
      <c r="C368" s="135"/>
      <c r="D368" s="13"/>
      <c r="E368" s="13"/>
      <c r="F368" s="11"/>
      <c r="G368" s="71"/>
      <c r="H368" s="70"/>
      <c r="I368" s="70"/>
      <c r="J368" s="71"/>
    </row>
    <row r="369" spans="1:10" x14ac:dyDescent="0.2">
      <c r="A369" s="9"/>
      <c r="B369" s="16"/>
      <c r="C369" s="135"/>
      <c r="D369" s="13"/>
      <c r="E369" s="13"/>
      <c r="F369" s="11"/>
      <c r="G369" s="71"/>
      <c r="H369" s="70"/>
      <c r="I369" s="70"/>
      <c r="J369" s="71"/>
    </row>
    <row r="370" spans="1:10" x14ac:dyDescent="0.2">
      <c r="A370" s="9"/>
      <c r="B370" s="16"/>
      <c r="C370" s="135"/>
      <c r="D370" s="13"/>
      <c r="E370" s="13"/>
      <c r="F370" s="11"/>
      <c r="G370" s="71"/>
      <c r="H370" s="70"/>
      <c r="I370" s="70"/>
      <c r="J370" s="71"/>
    </row>
    <row r="371" spans="1:10" x14ac:dyDescent="0.2">
      <c r="A371" s="18"/>
      <c r="B371" s="16"/>
      <c r="C371" s="135"/>
      <c r="D371" s="13"/>
      <c r="E371" s="13"/>
      <c r="F371" s="11"/>
      <c r="G371" s="71"/>
      <c r="H371" s="70"/>
      <c r="I371" s="70"/>
      <c r="J371" s="71"/>
    </row>
    <row r="372" spans="1:10" x14ac:dyDescent="0.2">
      <c r="A372" s="18"/>
      <c r="B372" s="16"/>
      <c r="C372" s="135"/>
      <c r="D372" s="13"/>
      <c r="E372" s="13"/>
      <c r="F372" s="11"/>
      <c r="G372" s="71"/>
      <c r="H372" s="70"/>
      <c r="I372" s="70"/>
      <c r="J372" s="71"/>
    </row>
    <row r="373" spans="1:10" x14ac:dyDescent="0.2">
      <c r="A373" s="18"/>
      <c r="B373" s="16"/>
      <c r="C373" s="135"/>
      <c r="D373" s="13"/>
      <c r="E373" s="13"/>
      <c r="F373" s="11"/>
      <c r="G373" s="71"/>
      <c r="H373" s="70"/>
      <c r="I373" s="70"/>
      <c r="J373" s="71"/>
    </row>
    <row r="374" spans="1:10" x14ac:dyDescent="0.2">
      <c r="A374" s="18"/>
      <c r="B374" s="16"/>
      <c r="C374" s="135"/>
      <c r="D374" s="13"/>
      <c r="E374" s="13"/>
      <c r="F374" s="11"/>
      <c r="G374" s="71"/>
      <c r="H374" s="70"/>
      <c r="I374" s="70"/>
      <c r="J374" s="71"/>
    </row>
    <row r="375" spans="1:10" x14ac:dyDescent="0.2">
      <c r="A375" s="18"/>
      <c r="B375" s="16"/>
      <c r="C375" s="135"/>
      <c r="D375" s="13"/>
      <c r="E375" s="13"/>
      <c r="F375" s="11"/>
      <c r="G375" s="71"/>
      <c r="H375" s="70"/>
      <c r="I375" s="70"/>
      <c r="J375" s="71"/>
    </row>
    <row r="376" spans="1:10" x14ac:dyDescent="0.2">
      <c r="A376" s="18"/>
      <c r="B376" s="16"/>
      <c r="C376" s="135"/>
      <c r="D376" s="13"/>
      <c r="E376" s="13"/>
      <c r="F376" s="11"/>
      <c r="G376" s="71"/>
      <c r="H376" s="70"/>
      <c r="I376" s="70"/>
      <c r="J376" s="71"/>
    </row>
    <row r="377" spans="1:10" x14ac:dyDescent="0.2">
      <c r="A377" s="18"/>
      <c r="B377" s="35"/>
      <c r="C377" s="140"/>
      <c r="D377" s="14"/>
      <c r="E377" s="14"/>
      <c r="F377" s="15"/>
      <c r="G377" s="71"/>
      <c r="H377" s="70"/>
      <c r="I377" s="70"/>
      <c r="J377" s="71"/>
    </row>
    <row r="378" spans="1:10" x14ac:dyDescent="0.2">
      <c r="A378" s="9"/>
      <c r="B378" s="16"/>
      <c r="C378" s="135"/>
      <c r="D378" s="13"/>
      <c r="E378" s="13"/>
      <c r="F378" s="11"/>
      <c r="G378" s="71"/>
      <c r="H378" s="70"/>
      <c r="I378" s="70"/>
      <c r="J378" s="71"/>
    </row>
    <row r="379" spans="1:10" x14ac:dyDescent="0.2">
      <c r="A379" s="9"/>
      <c r="B379" s="16"/>
      <c r="C379" s="135"/>
      <c r="D379" s="13"/>
      <c r="E379" s="13"/>
      <c r="F379" s="11"/>
      <c r="G379" s="71"/>
      <c r="H379" s="70"/>
      <c r="I379" s="70"/>
      <c r="J379" s="71"/>
    </row>
    <row r="380" spans="1:10" x14ac:dyDescent="0.2">
      <c r="A380" s="9"/>
      <c r="B380" s="35"/>
      <c r="C380" s="140"/>
      <c r="D380" s="14"/>
      <c r="E380" s="14"/>
      <c r="F380" s="15"/>
      <c r="G380" s="71"/>
      <c r="H380" s="70"/>
      <c r="I380" s="70"/>
      <c r="J380" s="71"/>
    </row>
    <row r="381" spans="1:10" x14ac:dyDescent="0.2">
      <c r="A381" s="9"/>
      <c r="B381" s="16"/>
      <c r="C381" s="135"/>
      <c r="D381" s="13"/>
      <c r="E381" s="13"/>
      <c r="F381" s="11"/>
      <c r="G381" s="71"/>
      <c r="H381" s="70"/>
      <c r="I381" s="70"/>
      <c r="J381" s="71"/>
    </row>
    <row r="382" spans="1:10" x14ac:dyDescent="0.2">
      <c r="A382" s="17"/>
      <c r="B382" s="16"/>
      <c r="C382" s="135"/>
      <c r="D382" s="13"/>
      <c r="E382" s="13"/>
      <c r="F382" s="11"/>
      <c r="G382" s="71"/>
      <c r="H382" s="70"/>
      <c r="I382" s="70"/>
      <c r="J382" s="71"/>
    </row>
    <row r="383" spans="1:10" x14ac:dyDescent="0.2">
      <c r="A383" s="17"/>
      <c r="B383" s="35"/>
      <c r="C383" s="140"/>
      <c r="D383" s="14"/>
      <c r="E383" s="14"/>
      <c r="F383" s="15"/>
      <c r="G383" s="71"/>
      <c r="H383" s="70"/>
      <c r="I383" s="70"/>
      <c r="J383" s="71"/>
    </row>
    <row r="384" spans="1:10" x14ac:dyDescent="0.2">
      <c r="A384" s="9"/>
      <c r="B384" s="16"/>
      <c r="C384" s="135"/>
      <c r="D384" s="13"/>
      <c r="E384" s="13"/>
      <c r="F384" s="11"/>
      <c r="G384" s="71"/>
      <c r="H384" s="70"/>
      <c r="I384" s="70"/>
      <c r="J384" s="71"/>
    </row>
    <row r="385" spans="1:10" x14ac:dyDescent="0.2">
      <c r="A385" s="9"/>
      <c r="B385" s="35"/>
      <c r="C385" s="140"/>
      <c r="D385" s="14"/>
      <c r="E385" s="14"/>
      <c r="F385" s="15"/>
      <c r="G385" s="71"/>
      <c r="H385" s="70"/>
      <c r="I385" s="70"/>
      <c r="J385" s="71"/>
    </row>
    <row r="386" spans="1:10" x14ac:dyDescent="0.2">
      <c r="A386" s="9"/>
      <c r="B386" s="16"/>
      <c r="C386" s="135"/>
      <c r="D386" s="13"/>
      <c r="E386" s="13"/>
      <c r="F386" s="11"/>
      <c r="G386" s="71"/>
      <c r="H386" s="70"/>
      <c r="I386" s="70"/>
      <c r="J386" s="71"/>
    </row>
    <row r="387" spans="1:10" x14ac:dyDescent="0.2">
      <c r="A387" s="9"/>
      <c r="B387" s="16"/>
      <c r="C387" s="135"/>
      <c r="D387" s="13"/>
      <c r="E387" s="13"/>
      <c r="F387" s="11"/>
      <c r="G387" s="71"/>
      <c r="H387" s="70"/>
      <c r="I387" s="70"/>
      <c r="J387" s="71"/>
    </row>
    <row r="388" spans="1:10" x14ac:dyDescent="0.2">
      <c r="A388" s="9"/>
      <c r="B388" s="35"/>
      <c r="C388" s="140"/>
      <c r="D388" s="14"/>
      <c r="E388" s="14"/>
      <c r="F388" s="15"/>
      <c r="G388" s="71"/>
      <c r="H388" s="70"/>
      <c r="I388" s="70"/>
      <c r="J388" s="71"/>
    </row>
    <row r="389" spans="1:10" x14ac:dyDescent="0.2">
      <c r="A389" s="9"/>
      <c r="B389" s="35"/>
      <c r="C389" s="140"/>
      <c r="D389" s="14"/>
      <c r="E389" s="14"/>
      <c r="F389" s="15"/>
      <c r="G389" s="71"/>
      <c r="H389" s="70"/>
      <c r="I389" s="70"/>
      <c r="J389" s="71"/>
    </row>
    <row r="390" spans="1:10" x14ac:dyDescent="0.2">
      <c r="A390" s="9"/>
      <c r="B390" s="16"/>
      <c r="C390" s="135"/>
      <c r="D390" s="13"/>
      <c r="E390" s="13"/>
      <c r="F390" s="11"/>
      <c r="G390" s="71"/>
      <c r="H390" s="70"/>
      <c r="I390" s="70"/>
      <c r="J390" s="71"/>
    </row>
    <row r="391" spans="1:10" x14ac:dyDescent="0.2">
      <c r="A391" s="9"/>
      <c r="B391" s="16"/>
      <c r="C391" s="135"/>
      <c r="D391" s="13"/>
      <c r="E391" s="13"/>
      <c r="F391" s="11"/>
      <c r="G391" s="71"/>
      <c r="H391" s="70"/>
      <c r="I391" s="70"/>
      <c r="J391" s="71"/>
    </row>
    <row r="392" spans="1:10" x14ac:dyDescent="0.2">
      <c r="A392" s="9"/>
      <c r="B392" s="16"/>
      <c r="C392" s="135"/>
      <c r="D392" s="13"/>
      <c r="E392" s="13"/>
      <c r="F392" s="11"/>
      <c r="G392" s="71"/>
      <c r="H392" s="70"/>
      <c r="I392" s="70"/>
      <c r="J392" s="71"/>
    </row>
    <row r="393" spans="1:10" x14ac:dyDescent="0.2">
      <c r="A393" s="9"/>
      <c r="B393" s="16"/>
      <c r="C393" s="135"/>
      <c r="D393" s="13"/>
      <c r="E393" s="13"/>
      <c r="F393" s="11"/>
      <c r="G393" s="71"/>
      <c r="H393" s="70"/>
      <c r="I393" s="70"/>
      <c r="J393" s="71"/>
    </row>
    <row r="394" spans="1:10" x14ac:dyDescent="0.2">
      <c r="A394" s="9"/>
      <c r="B394" s="16"/>
      <c r="C394" s="135"/>
      <c r="D394" s="13"/>
      <c r="E394" s="13"/>
      <c r="F394" s="11"/>
      <c r="G394" s="71"/>
      <c r="H394" s="70"/>
      <c r="I394" s="70"/>
      <c r="J394" s="71"/>
    </row>
    <row r="395" spans="1:10" x14ac:dyDescent="0.2">
      <c r="A395" s="9"/>
      <c r="B395" s="16"/>
      <c r="C395" s="135"/>
      <c r="D395" s="13"/>
      <c r="E395" s="13"/>
      <c r="F395" s="11"/>
      <c r="G395" s="71"/>
      <c r="H395" s="70"/>
      <c r="I395" s="70"/>
      <c r="J395" s="71"/>
    </row>
    <row r="396" spans="1:10" x14ac:dyDescent="0.2">
      <c r="A396" s="9"/>
      <c r="B396" s="16"/>
      <c r="C396" s="135"/>
      <c r="D396" s="13"/>
      <c r="E396" s="13"/>
      <c r="F396" s="11"/>
      <c r="G396" s="71"/>
      <c r="H396" s="70"/>
      <c r="I396" s="70"/>
      <c r="J396" s="71"/>
    </row>
    <row r="397" spans="1:10" x14ac:dyDescent="0.2">
      <c r="A397" s="9"/>
      <c r="B397" s="35"/>
      <c r="C397" s="140"/>
      <c r="D397" s="14"/>
      <c r="E397" s="14"/>
      <c r="F397" s="15"/>
      <c r="G397" s="71"/>
      <c r="H397" s="70"/>
      <c r="I397" s="70"/>
      <c r="J397" s="71"/>
    </row>
    <row r="398" spans="1:10" x14ac:dyDescent="0.2">
      <c r="A398" s="9"/>
      <c r="B398" s="16"/>
      <c r="C398" s="135"/>
      <c r="D398" s="13"/>
      <c r="E398" s="13"/>
      <c r="F398" s="11"/>
      <c r="G398" s="71"/>
      <c r="H398" s="70"/>
      <c r="I398" s="70"/>
      <c r="J398" s="71"/>
    </row>
    <row r="399" spans="1:10" x14ac:dyDescent="0.2">
      <c r="A399" s="17"/>
      <c r="B399" s="16"/>
      <c r="C399" s="135"/>
      <c r="D399" s="13"/>
      <c r="E399" s="13"/>
      <c r="F399" s="11"/>
      <c r="G399" s="71"/>
      <c r="H399" s="70"/>
      <c r="I399" s="70"/>
      <c r="J399" s="71"/>
    </row>
    <row r="400" spans="1:10" x14ac:dyDescent="0.2">
      <c r="A400" s="17"/>
      <c r="B400" s="35"/>
      <c r="C400" s="140"/>
      <c r="D400" s="14"/>
      <c r="E400" s="14"/>
      <c r="F400" s="15"/>
      <c r="G400" s="71"/>
      <c r="H400" s="70"/>
      <c r="I400" s="70"/>
      <c r="J400" s="71"/>
    </row>
    <row r="401" spans="1:10" x14ac:dyDescent="0.2">
      <c r="A401" s="9"/>
      <c r="B401" s="16"/>
      <c r="C401" s="135"/>
      <c r="D401" s="13"/>
      <c r="E401" s="13"/>
      <c r="F401" s="11"/>
      <c r="G401" s="71"/>
      <c r="H401" s="70"/>
      <c r="I401" s="70"/>
      <c r="J401" s="71"/>
    </row>
    <row r="402" spans="1:10" x14ac:dyDescent="0.2">
      <c r="A402" s="9"/>
      <c r="B402" s="16"/>
      <c r="C402" s="135"/>
      <c r="D402" s="13"/>
      <c r="E402" s="13"/>
      <c r="F402" s="11"/>
      <c r="G402" s="71"/>
      <c r="H402" s="70"/>
      <c r="I402" s="70"/>
      <c r="J402" s="71"/>
    </row>
    <row r="403" spans="1:10" x14ac:dyDescent="0.2">
      <c r="A403" s="9"/>
      <c r="B403" s="35"/>
      <c r="C403" s="140"/>
      <c r="D403" s="14"/>
      <c r="E403" s="14"/>
      <c r="F403" s="15"/>
      <c r="G403" s="71"/>
      <c r="H403" s="70"/>
      <c r="I403" s="70"/>
      <c r="J403" s="71"/>
    </row>
    <row r="404" spans="1:10" x14ac:dyDescent="0.2">
      <c r="A404" s="9"/>
      <c r="B404" s="16"/>
      <c r="C404" s="135"/>
      <c r="D404" s="13"/>
      <c r="E404" s="13"/>
      <c r="F404" s="11"/>
      <c r="G404" s="71"/>
      <c r="H404" s="70"/>
      <c r="I404" s="70"/>
      <c r="J404" s="71"/>
    </row>
    <row r="405" spans="1:10" x14ac:dyDescent="0.2">
      <c r="A405" s="9"/>
      <c r="B405" s="16"/>
      <c r="C405" s="135"/>
      <c r="D405" s="13"/>
      <c r="E405" s="13"/>
      <c r="F405" s="11"/>
      <c r="G405" s="71"/>
      <c r="H405" s="70"/>
      <c r="I405" s="70"/>
      <c r="J405" s="71"/>
    </row>
    <row r="406" spans="1:10" x14ac:dyDescent="0.2">
      <c r="A406" s="9"/>
      <c r="B406" s="16"/>
      <c r="C406" s="135"/>
      <c r="D406" s="13"/>
      <c r="E406" s="13"/>
      <c r="F406" s="11"/>
      <c r="G406" s="71"/>
      <c r="H406" s="70"/>
      <c r="I406" s="70"/>
      <c r="J406" s="71"/>
    </row>
    <row r="407" spans="1:10" x14ac:dyDescent="0.2">
      <c r="A407" s="9"/>
      <c r="B407" s="16"/>
      <c r="C407" s="135"/>
      <c r="D407" s="13"/>
      <c r="E407" s="13"/>
      <c r="F407" s="11"/>
      <c r="G407" s="71"/>
      <c r="H407" s="70"/>
      <c r="I407" s="70"/>
      <c r="J407" s="71"/>
    </row>
    <row r="408" spans="1:10" x14ac:dyDescent="0.2">
      <c r="A408" s="9"/>
      <c r="B408" s="16"/>
      <c r="C408" s="135"/>
      <c r="D408" s="13"/>
      <c r="E408" s="13"/>
      <c r="F408" s="11"/>
      <c r="G408" s="71"/>
      <c r="H408" s="70"/>
      <c r="I408" s="70"/>
      <c r="J408" s="71"/>
    </row>
    <row r="409" spans="1:10" x14ac:dyDescent="0.2">
      <c r="A409" s="9"/>
      <c r="B409" s="16"/>
      <c r="C409" s="135"/>
      <c r="D409" s="13"/>
      <c r="E409" s="13"/>
      <c r="F409" s="11"/>
      <c r="G409" s="71"/>
      <c r="H409" s="70"/>
      <c r="I409" s="70"/>
      <c r="J409" s="71"/>
    </row>
    <row r="410" spans="1:10" x14ac:dyDescent="0.2">
      <c r="A410" s="9"/>
      <c r="B410" s="35"/>
      <c r="C410" s="140"/>
      <c r="D410" s="14"/>
      <c r="E410" s="14"/>
      <c r="F410" s="15"/>
      <c r="G410" s="71"/>
      <c r="H410" s="70"/>
      <c r="I410" s="70"/>
      <c r="J410" s="71"/>
    </row>
    <row r="411" spans="1:10" x14ac:dyDescent="0.2">
      <c r="A411" s="9"/>
      <c r="B411" s="16"/>
      <c r="C411" s="152"/>
      <c r="D411" s="13"/>
      <c r="E411" s="13"/>
      <c r="F411" s="11"/>
      <c r="G411" s="71"/>
      <c r="H411" s="70"/>
      <c r="I411" s="70"/>
      <c r="J411" s="71"/>
    </row>
    <row r="412" spans="1:10" x14ac:dyDescent="0.2">
      <c r="A412" s="9"/>
      <c r="B412" s="16"/>
      <c r="C412" s="135"/>
      <c r="D412" s="13"/>
      <c r="E412" s="13"/>
      <c r="F412" s="11"/>
      <c r="G412" s="71"/>
      <c r="H412" s="70"/>
      <c r="I412" s="70"/>
      <c r="J412" s="71"/>
    </row>
    <row r="413" spans="1:10" x14ac:dyDescent="0.2">
      <c r="A413" s="9"/>
      <c r="B413" s="16"/>
      <c r="C413" s="135"/>
      <c r="D413" s="13"/>
      <c r="E413" s="13"/>
      <c r="F413" s="11"/>
      <c r="G413" s="71"/>
      <c r="H413" s="70"/>
      <c r="I413" s="70"/>
      <c r="J413" s="71"/>
    </row>
    <row r="414" spans="1:10" x14ac:dyDescent="0.2">
      <c r="A414" s="9"/>
      <c r="B414" s="16"/>
      <c r="C414" s="135"/>
      <c r="D414" s="13"/>
      <c r="E414" s="13"/>
      <c r="F414" s="11"/>
      <c r="G414" s="71"/>
      <c r="H414" s="70"/>
      <c r="I414" s="70"/>
      <c r="J414" s="71"/>
    </row>
    <row r="415" spans="1:10" x14ac:dyDescent="0.2">
      <c r="A415" s="9"/>
      <c r="B415" s="35"/>
      <c r="C415" s="140"/>
      <c r="D415" s="14"/>
      <c r="E415" s="14"/>
      <c r="F415" s="15"/>
      <c r="G415" s="71"/>
      <c r="H415" s="70"/>
      <c r="I415" s="70"/>
      <c r="J415" s="71"/>
    </row>
    <row r="416" spans="1:10" x14ac:dyDescent="0.2">
      <c r="A416" s="9"/>
      <c r="B416" s="16"/>
      <c r="C416" s="152"/>
      <c r="D416" s="20"/>
      <c r="E416" s="20"/>
      <c r="F416" s="21"/>
      <c r="G416" s="71"/>
      <c r="H416" s="70"/>
      <c r="I416" s="70"/>
      <c r="J416" s="71"/>
    </row>
    <row r="417" spans="1:10" x14ac:dyDescent="0.2">
      <c r="A417" s="9"/>
      <c r="B417" s="35"/>
      <c r="C417" s="140"/>
      <c r="D417" s="14"/>
      <c r="E417" s="14"/>
      <c r="F417" s="15"/>
      <c r="G417" s="71"/>
      <c r="H417" s="70"/>
      <c r="I417" s="70"/>
      <c r="J417" s="71"/>
    </row>
    <row r="418" spans="1:10" x14ac:dyDescent="0.2">
      <c r="A418" s="9"/>
      <c r="B418" s="35"/>
      <c r="C418" s="140"/>
      <c r="D418" s="14"/>
      <c r="E418" s="14"/>
      <c r="F418" s="15"/>
      <c r="G418" s="71"/>
      <c r="H418" s="70"/>
      <c r="I418" s="70"/>
      <c r="J418" s="71"/>
    </row>
    <row r="419" spans="1:10" x14ac:dyDescent="0.2">
      <c r="A419" s="9"/>
      <c r="B419" s="35"/>
      <c r="C419" s="135"/>
      <c r="D419" s="13"/>
      <c r="E419" s="13"/>
      <c r="F419" s="11"/>
      <c r="G419" s="71"/>
      <c r="H419" s="70"/>
      <c r="I419" s="70"/>
      <c r="J419" s="71"/>
    </row>
    <row r="420" spans="1:10" x14ac:dyDescent="0.2">
      <c r="A420" s="9"/>
      <c r="B420" s="35"/>
      <c r="C420" s="140"/>
      <c r="D420" s="14"/>
      <c r="E420" s="14"/>
      <c r="F420" s="15"/>
      <c r="G420" s="71"/>
      <c r="H420" s="70"/>
      <c r="I420" s="70"/>
      <c r="J420" s="71"/>
    </row>
    <row r="421" spans="1:10" x14ac:dyDescent="0.2">
      <c r="A421" s="9"/>
      <c r="B421" s="16"/>
      <c r="C421" s="135"/>
      <c r="D421" s="13"/>
      <c r="E421" s="13"/>
      <c r="F421" s="11"/>
      <c r="G421" s="71"/>
      <c r="H421" s="70"/>
      <c r="I421" s="70"/>
      <c r="J421" s="71"/>
    </row>
    <row r="422" spans="1:10" x14ac:dyDescent="0.2">
      <c r="A422" s="9"/>
      <c r="B422" s="35"/>
      <c r="C422" s="140"/>
      <c r="D422" s="14"/>
      <c r="E422" s="14"/>
      <c r="F422" s="15"/>
      <c r="G422" s="71"/>
      <c r="H422" s="70"/>
      <c r="I422" s="70"/>
      <c r="J422" s="71"/>
    </row>
    <row r="423" spans="1:10" x14ac:dyDescent="0.2">
      <c r="A423" s="9"/>
      <c r="B423" s="35"/>
      <c r="C423" s="140"/>
      <c r="D423" s="14"/>
      <c r="E423" s="14"/>
      <c r="F423" s="15"/>
      <c r="G423" s="71"/>
      <c r="H423" s="70"/>
      <c r="I423" s="70"/>
      <c r="J423" s="71"/>
    </row>
    <row r="424" spans="1:10" x14ac:dyDescent="0.2">
      <c r="A424" s="9"/>
      <c r="B424" s="16"/>
      <c r="C424" s="135"/>
      <c r="D424" s="13"/>
      <c r="E424" s="13"/>
      <c r="F424" s="11"/>
      <c r="G424" s="71"/>
      <c r="H424" s="70"/>
      <c r="I424" s="70"/>
      <c r="J424" s="71"/>
    </row>
    <row r="425" spans="1:10" x14ac:dyDescent="0.2">
      <c r="A425" s="9"/>
      <c r="B425" s="35"/>
      <c r="C425" s="140"/>
      <c r="D425" s="14"/>
      <c r="E425" s="14"/>
      <c r="F425" s="15"/>
      <c r="G425" s="71"/>
      <c r="H425" s="70"/>
      <c r="I425" s="70"/>
      <c r="J425" s="71"/>
    </row>
    <row r="426" spans="1:10" x14ac:dyDescent="0.2">
      <c r="A426" s="9"/>
      <c r="B426" s="35"/>
      <c r="C426" s="135"/>
      <c r="D426" s="13"/>
      <c r="E426" s="13"/>
      <c r="F426" s="11"/>
      <c r="G426" s="71"/>
      <c r="H426" s="70"/>
      <c r="I426" s="70"/>
      <c r="J426" s="71"/>
    </row>
    <row r="427" spans="1:10" x14ac:dyDescent="0.2">
      <c r="A427" s="9"/>
      <c r="B427" s="35"/>
      <c r="C427" s="135"/>
      <c r="D427" s="13"/>
      <c r="E427" s="13"/>
      <c r="F427" s="11"/>
      <c r="G427" s="71"/>
      <c r="H427" s="70"/>
      <c r="I427" s="70"/>
      <c r="J427" s="71"/>
    </row>
    <row r="428" spans="1:10" x14ac:dyDescent="0.2">
      <c r="A428" s="9"/>
      <c r="B428" s="35"/>
      <c r="C428" s="135"/>
      <c r="D428" s="13"/>
      <c r="E428" s="13"/>
      <c r="F428" s="11"/>
      <c r="G428" s="71"/>
      <c r="H428" s="70"/>
      <c r="I428" s="70"/>
      <c r="J428" s="71"/>
    </row>
    <row r="429" spans="1:10" x14ac:dyDescent="0.2">
      <c r="A429" s="9"/>
      <c r="B429" s="35"/>
      <c r="C429" s="140"/>
      <c r="D429" s="14"/>
      <c r="E429" s="14"/>
      <c r="F429" s="15"/>
      <c r="G429" s="71"/>
      <c r="H429" s="70"/>
      <c r="I429" s="70"/>
      <c r="J429" s="71"/>
    </row>
    <row r="430" spans="1:10" x14ac:dyDescent="0.2">
      <c r="A430" s="9"/>
      <c r="B430" s="35"/>
      <c r="C430" s="140"/>
      <c r="D430" s="14"/>
      <c r="E430" s="14"/>
      <c r="F430" s="15"/>
      <c r="G430" s="71"/>
      <c r="H430" s="70"/>
      <c r="I430" s="70"/>
      <c r="J430" s="71"/>
    </row>
    <row r="431" spans="1:10" x14ac:dyDescent="0.2">
      <c r="A431" s="9"/>
      <c r="B431" s="16"/>
      <c r="C431" s="157"/>
      <c r="D431" s="13"/>
      <c r="E431" s="13"/>
      <c r="F431" s="11"/>
      <c r="G431" s="71"/>
      <c r="H431" s="70"/>
      <c r="I431" s="70"/>
      <c r="J431" s="71"/>
    </row>
    <row r="432" spans="1:10" x14ac:dyDescent="0.2">
      <c r="A432" s="9"/>
      <c r="B432" s="16"/>
      <c r="C432" s="157"/>
      <c r="D432" s="13"/>
      <c r="E432" s="13"/>
      <c r="F432" s="11"/>
      <c r="G432" s="71"/>
      <c r="H432" s="70"/>
      <c r="I432" s="70"/>
      <c r="J432" s="71"/>
    </row>
    <row r="433" spans="1:10" x14ac:dyDescent="0.2">
      <c r="A433" s="9"/>
      <c r="B433" s="35"/>
      <c r="C433" s="140"/>
      <c r="D433" s="14"/>
      <c r="E433" s="14"/>
      <c r="F433" s="15"/>
      <c r="G433" s="71"/>
      <c r="H433" s="70"/>
      <c r="I433" s="70"/>
      <c r="J433" s="71"/>
    </row>
    <row r="434" spans="1:10" x14ac:dyDescent="0.2">
      <c r="A434" s="9"/>
      <c r="B434" s="16"/>
      <c r="C434" s="157"/>
      <c r="D434" s="13"/>
      <c r="E434" s="13"/>
      <c r="F434" s="11"/>
      <c r="G434" s="71"/>
      <c r="H434" s="70"/>
      <c r="I434" s="70"/>
      <c r="J434" s="71"/>
    </row>
    <row r="435" spans="1:10" x14ac:dyDescent="0.2">
      <c r="A435" s="9"/>
      <c r="B435" s="35"/>
      <c r="C435" s="140"/>
      <c r="D435" s="14"/>
      <c r="E435" s="14"/>
      <c r="F435" s="15"/>
      <c r="G435" s="71"/>
      <c r="H435" s="70"/>
      <c r="I435" s="70"/>
      <c r="J435" s="71"/>
    </row>
    <row r="436" spans="1:10" x14ac:dyDescent="0.2">
      <c r="A436" s="9"/>
      <c r="B436" s="35"/>
      <c r="C436" s="140"/>
      <c r="D436" s="14"/>
      <c r="E436" s="14"/>
      <c r="F436" s="15"/>
      <c r="G436" s="71"/>
      <c r="H436" s="70"/>
      <c r="I436" s="70"/>
      <c r="J436" s="71"/>
    </row>
    <row r="437" spans="1:10" x14ac:dyDescent="0.2">
      <c r="A437" s="9"/>
      <c r="B437" s="16"/>
      <c r="C437" s="135"/>
      <c r="D437" s="13"/>
      <c r="E437" s="13"/>
      <c r="F437" s="11"/>
      <c r="G437" s="71"/>
      <c r="H437" s="70"/>
      <c r="I437" s="70"/>
      <c r="J437" s="71"/>
    </row>
    <row r="438" spans="1:10" x14ac:dyDescent="0.2">
      <c r="A438" s="9"/>
      <c r="B438" s="16"/>
      <c r="C438" s="135"/>
      <c r="D438" s="13"/>
      <c r="E438" s="13"/>
      <c r="F438" s="11"/>
      <c r="G438" s="71"/>
      <c r="H438" s="70"/>
      <c r="I438" s="70"/>
      <c r="J438" s="71"/>
    </row>
    <row r="439" spans="1:10" x14ac:dyDescent="0.2">
      <c r="A439" s="9"/>
      <c r="B439" s="35"/>
      <c r="C439" s="140"/>
      <c r="D439" s="14"/>
      <c r="E439" s="14"/>
      <c r="F439" s="15"/>
      <c r="G439" s="71"/>
      <c r="H439" s="70"/>
      <c r="I439" s="70"/>
      <c r="J439" s="71"/>
    </row>
    <row r="440" spans="1:10" x14ac:dyDescent="0.2">
      <c r="A440" s="9"/>
      <c r="B440" s="35"/>
      <c r="C440" s="140"/>
      <c r="D440" s="14"/>
      <c r="E440" s="14"/>
      <c r="F440" s="15"/>
      <c r="G440" s="71"/>
      <c r="H440" s="70"/>
      <c r="I440" s="70"/>
      <c r="J440" s="71"/>
    </row>
    <row r="441" spans="1:10" x14ac:dyDescent="0.2">
      <c r="A441" s="9"/>
      <c r="B441" s="16"/>
      <c r="C441" s="135"/>
      <c r="D441" s="13"/>
      <c r="E441" s="13"/>
      <c r="F441" s="11"/>
      <c r="G441" s="71"/>
      <c r="H441" s="70"/>
      <c r="I441" s="70"/>
      <c r="J441" s="71"/>
    </row>
    <row r="442" spans="1:10" x14ac:dyDescent="0.2">
      <c r="A442" s="9"/>
      <c r="B442" s="16"/>
      <c r="C442" s="135"/>
      <c r="D442" s="13"/>
      <c r="E442" s="13"/>
      <c r="F442" s="11"/>
      <c r="G442" s="71"/>
      <c r="H442" s="70"/>
      <c r="I442" s="70"/>
      <c r="J442" s="71"/>
    </row>
    <row r="443" spans="1:10" x14ac:dyDescent="0.2">
      <c r="A443" s="9"/>
      <c r="B443" s="16"/>
      <c r="C443" s="135"/>
      <c r="D443" s="13"/>
      <c r="E443" s="13"/>
      <c r="F443" s="11"/>
      <c r="G443" s="71"/>
      <c r="H443" s="70"/>
      <c r="I443" s="70"/>
      <c r="J443" s="71"/>
    </row>
    <row r="444" spans="1:10" x14ac:dyDescent="0.2">
      <c r="A444" s="9"/>
      <c r="B444" s="35"/>
      <c r="C444" s="140"/>
      <c r="D444" s="14"/>
      <c r="E444" s="14"/>
      <c r="F444" s="15"/>
      <c r="G444" s="71"/>
      <c r="H444" s="70"/>
      <c r="I444" s="70"/>
      <c r="J444" s="71"/>
    </row>
    <row r="445" spans="1:10" x14ac:dyDescent="0.2">
      <c r="A445" s="9"/>
      <c r="B445" s="16"/>
      <c r="C445" s="135"/>
      <c r="D445" s="13"/>
      <c r="E445" s="13"/>
      <c r="F445" s="11"/>
      <c r="G445" s="71"/>
      <c r="H445" s="70"/>
      <c r="I445" s="70"/>
      <c r="J445" s="71"/>
    </row>
    <row r="446" spans="1:10" x14ac:dyDescent="0.2">
      <c r="A446" s="9"/>
      <c r="B446" s="35"/>
      <c r="C446" s="140"/>
      <c r="D446" s="14"/>
      <c r="E446" s="14"/>
      <c r="F446" s="15"/>
      <c r="G446" s="71"/>
      <c r="H446" s="70"/>
      <c r="I446" s="70"/>
      <c r="J446" s="71"/>
    </row>
    <row r="447" spans="1:10" x14ac:dyDescent="0.2">
      <c r="A447" s="9"/>
      <c r="B447" s="35"/>
      <c r="C447" s="140"/>
      <c r="D447" s="14"/>
      <c r="E447" s="14"/>
      <c r="F447" s="15"/>
      <c r="G447" s="71"/>
      <c r="H447" s="70"/>
      <c r="I447" s="70"/>
      <c r="J447" s="71"/>
    </row>
    <row r="448" spans="1:10" x14ac:dyDescent="0.2">
      <c r="A448" s="9"/>
      <c r="B448" s="16"/>
      <c r="C448" s="135"/>
      <c r="D448" s="13"/>
      <c r="E448" s="13"/>
      <c r="F448" s="11"/>
      <c r="G448" s="71"/>
      <c r="H448" s="70"/>
      <c r="I448" s="70"/>
      <c r="J448" s="71"/>
    </row>
    <row r="449" spans="1:10" x14ac:dyDescent="0.2">
      <c r="A449" s="9"/>
      <c r="B449" s="35"/>
      <c r="C449" s="140"/>
      <c r="D449" s="14"/>
      <c r="E449" s="14"/>
      <c r="F449" s="15"/>
      <c r="G449" s="71"/>
      <c r="H449" s="70"/>
      <c r="I449" s="70"/>
      <c r="J449" s="71"/>
    </row>
    <row r="450" spans="1:10" x14ac:dyDescent="0.2">
      <c r="A450" s="9"/>
      <c r="B450" s="35"/>
      <c r="C450" s="140"/>
      <c r="D450" s="14"/>
      <c r="E450" s="14"/>
      <c r="F450" s="15"/>
      <c r="G450" s="71"/>
      <c r="H450" s="70"/>
      <c r="I450" s="70"/>
      <c r="J450" s="71"/>
    </row>
    <row r="451" spans="1:10" x14ac:dyDescent="0.2">
      <c r="A451" s="9"/>
      <c r="B451" s="16"/>
      <c r="C451" s="135"/>
      <c r="D451" s="13"/>
      <c r="E451" s="13"/>
      <c r="F451" s="11"/>
      <c r="G451" s="71"/>
      <c r="H451" s="70"/>
      <c r="I451" s="70"/>
      <c r="J451" s="71"/>
    </row>
    <row r="452" spans="1:10" x14ac:dyDescent="0.2">
      <c r="A452" s="9"/>
      <c r="B452" s="35"/>
      <c r="C452" s="140"/>
      <c r="D452" s="14"/>
      <c r="E452" s="14"/>
      <c r="F452" s="15"/>
      <c r="G452" s="71"/>
      <c r="H452" s="70"/>
      <c r="I452" s="70"/>
      <c r="J452" s="71"/>
    </row>
    <row r="453" spans="1:10" x14ac:dyDescent="0.2">
      <c r="A453" s="9"/>
      <c r="B453" s="16"/>
      <c r="C453" s="135"/>
      <c r="D453" s="13"/>
      <c r="E453" s="13"/>
      <c r="F453" s="11"/>
      <c r="G453" s="71"/>
      <c r="H453" s="70"/>
      <c r="I453" s="70"/>
      <c r="J453" s="71"/>
    </row>
    <row r="454" spans="1:10" x14ac:dyDescent="0.2">
      <c r="A454" s="9"/>
      <c r="B454" s="35"/>
      <c r="C454" s="140"/>
      <c r="D454" s="14"/>
      <c r="E454" s="14"/>
      <c r="F454" s="15"/>
      <c r="G454" s="71"/>
      <c r="H454" s="70"/>
      <c r="I454" s="70"/>
      <c r="J454" s="71"/>
    </row>
    <row r="455" spans="1:10" x14ac:dyDescent="0.2">
      <c r="A455" s="9"/>
      <c r="B455" s="35"/>
      <c r="C455" s="140"/>
      <c r="D455" s="14"/>
      <c r="E455" s="14"/>
      <c r="F455" s="15"/>
      <c r="G455" s="71"/>
      <c r="H455" s="70"/>
      <c r="I455" s="70"/>
      <c r="J455" s="71"/>
    </row>
    <row r="456" spans="1:10" x14ac:dyDescent="0.2">
      <c r="A456" s="9"/>
      <c r="B456" s="16"/>
      <c r="C456" s="135"/>
      <c r="D456" s="13"/>
      <c r="E456" s="13"/>
      <c r="F456" s="11"/>
      <c r="G456" s="71"/>
      <c r="H456" s="70"/>
      <c r="I456" s="70"/>
      <c r="J456" s="71"/>
    </row>
    <row r="457" spans="1:10" x14ac:dyDescent="0.2">
      <c r="A457" s="9"/>
      <c r="B457" s="35"/>
      <c r="C457" s="140"/>
      <c r="D457" s="14"/>
      <c r="E457" s="14"/>
      <c r="F457" s="15"/>
      <c r="G457" s="71"/>
      <c r="H457" s="70"/>
      <c r="I457" s="70"/>
      <c r="J457" s="71"/>
    </row>
    <row r="458" spans="1:10" x14ac:dyDescent="0.2">
      <c r="A458" s="9"/>
      <c r="B458" s="35"/>
      <c r="C458" s="140"/>
      <c r="D458" s="14"/>
      <c r="E458" s="14"/>
      <c r="F458" s="15"/>
      <c r="G458" s="71"/>
      <c r="H458" s="70"/>
      <c r="I458" s="70"/>
      <c r="J458" s="71"/>
    </row>
    <row r="459" spans="1:10" x14ac:dyDescent="0.2">
      <c r="A459" s="9"/>
      <c r="B459" s="16"/>
      <c r="C459" s="135"/>
      <c r="D459" s="13"/>
      <c r="E459" s="13"/>
      <c r="F459" s="11"/>
      <c r="G459" s="71"/>
      <c r="H459" s="70"/>
      <c r="I459" s="70"/>
      <c r="J459" s="71"/>
    </row>
    <row r="460" spans="1:10" x14ac:dyDescent="0.2">
      <c r="A460" s="9"/>
      <c r="B460" s="35"/>
      <c r="C460" s="140"/>
      <c r="D460" s="14"/>
      <c r="E460" s="14"/>
      <c r="F460" s="15"/>
      <c r="G460" s="71"/>
      <c r="H460" s="70"/>
      <c r="I460" s="70"/>
      <c r="J460" s="71"/>
    </row>
    <row r="461" spans="1:10" x14ac:dyDescent="0.2">
      <c r="A461" s="12"/>
      <c r="B461" s="16"/>
      <c r="C461" s="135"/>
      <c r="D461" s="13"/>
      <c r="E461" s="13"/>
      <c r="F461" s="11"/>
      <c r="G461" s="71"/>
      <c r="H461" s="70"/>
      <c r="I461" s="70"/>
      <c r="J461" s="71"/>
    </row>
    <row r="462" spans="1:10" x14ac:dyDescent="0.2">
      <c r="A462" s="12"/>
      <c r="B462" s="16"/>
      <c r="C462" s="135"/>
      <c r="D462" s="13"/>
      <c r="E462" s="13"/>
      <c r="F462" s="11"/>
      <c r="G462" s="71"/>
      <c r="H462" s="70"/>
      <c r="I462" s="70"/>
      <c r="J462" s="71"/>
    </row>
    <row r="463" spans="1:10" x14ac:dyDescent="0.2">
      <c r="A463" s="12"/>
      <c r="B463" s="16"/>
      <c r="C463" s="135"/>
      <c r="D463" s="13"/>
      <c r="E463" s="13"/>
      <c r="F463" s="11"/>
      <c r="G463" s="71"/>
      <c r="H463" s="70"/>
      <c r="I463" s="70"/>
      <c r="J463" s="71"/>
    </row>
    <row r="464" spans="1:10" x14ac:dyDescent="0.2">
      <c r="A464" s="12"/>
      <c r="B464" s="35"/>
      <c r="C464" s="140"/>
      <c r="D464" s="14"/>
      <c r="E464" s="14"/>
      <c r="F464" s="15"/>
      <c r="G464" s="71"/>
      <c r="H464" s="70"/>
      <c r="I464" s="70"/>
      <c r="J464" s="71"/>
    </row>
    <row r="465" spans="1:10" x14ac:dyDescent="0.2">
      <c r="A465" s="12"/>
      <c r="B465" s="35"/>
      <c r="C465" s="135"/>
      <c r="D465" s="13"/>
      <c r="E465" s="13"/>
      <c r="F465" s="11"/>
      <c r="G465" s="71"/>
      <c r="H465" s="70"/>
      <c r="I465" s="70"/>
      <c r="J465" s="71"/>
    </row>
    <row r="466" spans="1:10" x14ac:dyDescent="0.2">
      <c r="A466" s="12"/>
      <c r="B466" s="35"/>
      <c r="C466" s="140"/>
      <c r="D466" s="14"/>
      <c r="E466" s="14"/>
      <c r="F466" s="15"/>
      <c r="G466" s="71"/>
      <c r="H466" s="70"/>
      <c r="I466" s="70"/>
      <c r="J466" s="71"/>
    </row>
    <row r="467" spans="1:10" x14ac:dyDescent="0.2">
      <c r="A467" s="12"/>
      <c r="B467" s="35"/>
      <c r="C467" s="140"/>
      <c r="D467" s="14"/>
      <c r="E467" s="14"/>
      <c r="F467" s="15"/>
      <c r="G467" s="71"/>
      <c r="H467" s="70"/>
      <c r="I467" s="70"/>
      <c r="J467" s="71"/>
    </row>
    <row r="468" spans="1:10" x14ac:dyDescent="0.2">
      <c r="A468" s="12"/>
      <c r="B468" s="16"/>
      <c r="C468" s="135"/>
      <c r="D468" s="13"/>
      <c r="E468" s="13"/>
      <c r="F468" s="11"/>
      <c r="G468" s="71"/>
      <c r="H468" s="70"/>
      <c r="I468" s="70"/>
      <c r="J468" s="71"/>
    </row>
    <row r="469" spans="1:10" x14ac:dyDescent="0.2">
      <c r="A469" s="8"/>
      <c r="B469" s="16"/>
      <c r="C469" s="135"/>
      <c r="D469" s="13"/>
      <c r="E469" s="13"/>
      <c r="F469" s="11"/>
      <c r="G469" s="71"/>
      <c r="H469" s="70"/>
      <c r="I469" s="70"/>
      <c r="J469" s="71"/>
    </row>
    <row r="470" spans="1:10" x14ac:dyDescent="0.2">
      <c r="A470" s="8"/>
      <c r="B470" s="35"/>
      <c r="C470" s="140"/>
      <c r="D470" s="14"/>
      <c r="E470" s="14"/>
      <c r="F470" s="15"/>
      <c r="G470" s="71"/>
      <c r="H470" s="70"/>
      <c r="I470" s="70"/>
      <c r="J470" s="71"/>
    </row>
    <row r="471" spans="1:10" x14ac:dyDescent="0.2">
      <c r="A471" s="12"/>
      <c r="B471" s="16"/>
      <c r="C471" s="135"/>
      <c r="D471" s="13"/>
      <c r="E471" s="13"/>
      <c r="F471" s="11"/>
      <c r="G471" s="71"/>
      <c r="H471" s="70"/>
      <c r="I471" s="70"/>
      <c r="J471" s="71"/>
    </row>
    <row r="472" spans="1:10" x14ac:dyDescent="0.2">
      <c r="A472" s="12"/>
      <c r="B472" s="35"/>
      <c r="C472" s="140"/>
      <c r="D472" s="14"/>
      <c r="E472" s="14"/>
      <c r="F472" s="15"/>
      <c r="G472" s="71"/>
      <c r="H472" s="70"/>
      <c r="I472" s="70"/>
      <c r="J472" s="71"/>
    </row>
    <row r="473" spans="1:10" x14ac:dyDescent="0.2">
      <c r="A473" s="12"/>
      <c r="B473" s="35"/>
      <c r="C473" s="140"/>
      <c r="D473" s="14"/>
      <c r="E473" s="14"/>
      <c r="F473" s="15"/>
      <c r="G473" s="71"/>
      <c r="H473" s="70"/>
      <c r="I473" s="70"/>
      <c r="J473" s="71"/>
    </row>
    <row r="474" spans="1:10" x14ac:dyDescent="0.2">
      <c r="A474" s="12"/>
      <c r="B474" s="16"/>
      <c r="C474" s="135"/>
      <c r="D474" s="13"/>
      <c r="E474" s="13"/>
      <c r="F474" s="11"/>
      <c r="G474" s="71"/>
      <c r="H474" s="70"/>
      <c r="I474" s="70"/>
      <c r="J474" s="71"/>
    </row>
    <row r="475" spans="1:10" x14ac:dyDescent="0.2">
      <c r="A475" s="8"/>
      <c r="B475" s="16"/>
      <c r="C475" s="135"/>
      <c r="D475" s="13"/>
      <c r="E475" s="13"/>
      <c r="F475" s="11"/>
      <c r="G475" s="71"/>
      <c r="H475" s="70"/>
      <c r="I475" s="70"/>
      <c r="J475" s="71"/>
    </row>
    <row r="476" spans="1:10" x14ac:dyDescent="0.2">
      <c r="A476" s="8"/>
      <c r="B476" s="16"/>
      <c r="C476" s="135"/>
      <c r="D476" s="13"/>
      <c r="E476" s="13"/>
      <c r="F476" s="11"/>
      <c r="G476" s="71"/>
      <c r="H476" s="70"/>
      <c r="I476" s="70"/>
      <c r="J476" s="71"/>
    </row>
    <row r="477" spans="1:10" x14ac:dyDescent="0.2">
      <c r="A477" s="8"/>
      <c r="B477" s="35"/>
      <c r="C477" s="140"/>
      <c r="D477" s="14"/>
      <c r="E477" s="14"/>
      <c r="F477" s="15"/>
      <c r="G477" s="71"/>
      <c r="H477" s="70"/>
      <c r="I477" s="70"/>
      <c r="J477" s="71"/>
    </row>
    <row r="478" spans="1:10" x14ac:dyDescent="0.2">
      <c r="A478" s="12"/>
      <c r="B478" s="35"/>
      <c r="C478" s="135"/>
      <c r="D478" s="13"/>
      <c r="E478" s="13"/>
      <c r="F478" s="11"/>
      <c r="G478" s="71"/>
      <c r="H478" s="70"/>
      <c r="I478" s="70"/>
      <c r="J478" s="71"/>
    </row>
    <row r="479" spans="1:10" x14ac:dyDescent="0.2">
      <c r="A479" s="12"/>
      <c r="B479" s="35"/>
      <c r="C479" s="135"/>
      <c r="D479" s="13"/>
      <c r="E479" s="13"/>
      <c r="F479" s="11"/>
      <c r="G479" s="71"/>
      <c r="H479" s="70"/>
      <c r="I479" s="70"/>
      <c r="J479" s="71"/>
    </row>
    <row r="480" spans="1:10" x14ac:dyDescent="0.2">
      <c r="A480" s="12"/>
      <c r="B480" s="35"/>
      <c r="C480" s="135"/>
      <c r="D480" s="13"/>
      <c r="E480" s="13"/>
      <c r="F480" s="11"/>
      <c r="G480" s="71"/>
      <c r="H480" s="70"/>
      <c r="I480" s="70"/>
      <c r="J480" s="71"/>
    </row>
    <row r="481" spans="1:10" x14ac:dyDescent="0.2">
      <c r="A481" s="12"/>
      <c r="B481" s="35"/>
      <c r="C481" s="135"/>
      <c r="D481" s="13"/>
      <c r="E481" s="13"/>
      <c r="F481" s="11"/>
      <c r="G481" s="71"/>
      <c r="H481" s="70"/>
      <c r="I481" s="70"/>
      <c r="J481" s="71"/>
    </row>
    <row r="482" spans="1:10" x14ac:dyDescent="0.2">
      <c r="A482" s="12"/>
      <c r="B482" s="35"/>
      <c r="C482" s="135"/>
      <c r="D482" s="13"/>
      <c r="E482" s="13"/>
      <c r="F482" s="11"/>
      <c r="G482" s="71"/>
      <c r="H482" s="70"/>
      <c r="I482" s="70"/>
      <c r="J482" s="71"/>
    </row>
    <row r="483" spans="1:10" x14ac:dyDescent="0.2">
      <c r="A483" s="12"/>
      <c r="B483" s="35"/>
      <c r="C483" s="140"/>
      <c r="D483" s="14"/>
      <c r="E483" s="14"/>
      <c r="F483" s="15"/>
      <c r="G483" s="71"/>
      <c r="H483" s="70"/>
      <c r="I483" s="70"/>
      <c r="J483" s="71"/>
    </row>
    <row r="484" spans="1:10" x14ac:dyDescent="0.2">
      <c r="A484" s="12"/>
      <c r="B484" s="35"/>
      <c r="C484" s="135"/>
      <c r="D484" s="13"/>
      <c r="E484" s="13"/>
      <c r="F484" s="11"/>
      <c r="G484" s="71"/>
      <c r="H484" s="70"/>
      <c r="I484" s="70"/>
      <c r="J484" s="71"/>
    </row>
    <row r="485" spans="1:10" x14ac:dyDescent="0.2">
      <c r="A485" s="12"/>
      <c r="B485" s="35"/>
      <c r="C485" s="140"/>
      <c r="D485" s="14"/>
      <c r="E485" s="14"/>
      <c r="F485" s="15"/>
      <c r="G485" s="71"/>
      <c r="H485" s="70"/>
      <c r="I485" s="70"/>
      <c r="J485" s="71"/>
    </row>
    <row r="486" spans="1:10" x14ac:dyDescent="0.2">
      <c r="A486" s="12"/>
      <c r="B486" s="16"/>
      <c r="C486" s="135"/>
      <c r="D486" s="13"/>
      <c r="E486" s="13"/>
      <c r="F486" s="11"/>
      <c r="G486" s="71"/>
      <c r="H486" s="70"/>
      <c r="I486" s="70"/>
      <c r="J486" s="71"/>
    </row>
    <row r="487" spans="1:10" x14ac:dyDescent="0.2">
      <c r="A487" s="12"/>
      <c r="B487" s="35"/>
      <c r="C487" s="140"/>
      <c r="D487" s="14"/>
      <c r="E487" s="14"/>
      <c r="F487" s="15"/>
      <c r="G487" s="71"/>
      <c r="H487" s="70"/>
      <c r="I487" s="70"/>
      <c r="J487" s="71"/>
    </row>
    <row r="488" spans="1:10" x14ac:dyDescent="0.2">
      <c r="A488" s="12"/>
      <c r="B488" s="35"/>
      <c r="C488" s="140"/>
      <c r="D488" s="14"/>
      <c r="E488" s="14"/>
      <c r="F488" s="15"/>
      <c r="G488" s="71"/>
      <c r="H488" s="70"/>
      <c r="I488" s="70"/>
      <c r="J488" s="71"/>
    </row>
    <row r="489" spans="1:10" x14ac:dyDescent="0.2">
      <c r="A489" s="12"/>
      <c r="B489" s="16"/>
      <c r="C489" s="135"/>
      <c r="D489" s="13"/>
      <c r="E489" s="13"/>
      <c r="F489" s="11"/>
      <c r="G489" s="71"/>
      <c r="H489" s="70"/>
      <c r="I489" s="70"/>
      <c r="J489" s="71"/>
    </row>
    <row r="490" spans="1:10" x14ac:dyDescent="0.2">
      <c r="A490" s="9"/>
      <c r="B490" s="16"/>
      <c r="C490" s="135"/>
      <c r="D490" s="13"/>
      <c r="E490" s="13"/>
      <c r="F490" s="11"/>
      <c r="G490" s="71"/>
      <c r="H490" s="70"/>
      <c r="I490" s="70"/>
      <c r="J490" s="71"/>
    </row>
    <row r="491" spans="1:10" x14ac:dyDescent="0.2">
      <c r="A491" s="9"/>
      <c r="B491" s="16"/>
      <c r="C491" s="135"/>
      <c r="D491" s="13"/>
      <c r="E491" s="13"/>
      <c r="F491" s="11"/>
      <c r="G491" s="71"/>
      <c r="H491" s="70"/>
      <c r="I491" s="70"/>
      <c r="J491" s="71"/>
    </row>
    <row r="492" spans="1:10" x14ac:dyDescent="0.2">
      <c r="A492" s="9"/>
      <c r="B492" s="35"/>
      <c r="C492" s="140"/>
      <c r="D492" s="14"/>
      <c r="E492" s="14"/>
      <c r="F492" s="15"/>
      <c r="G492" s="71"/>
      <c r="H492" s="70"/>
      <c r="I492" s="70"/>
      <c r="J492" s="71"/>
    </row>
    <row r="493" spans="1:10" x14ac:dyDescent="0.2">
      <c r="A493" s="9"/>
      <c r="B493" s="16"/>
      <c r="C493" s="135"/>
      <c r="D493" s="13"/>
      <c r="E493" s="13"/>
      <c r="F493" s="11"/>
      <c r="G493" s="71"/>
      <c r="H493" s="70"/>
      <c r="I493" s="70"/>
      <c r="J493" s="71"/>
    </row>
    <row r="494" spans="1:10" x14ac:dyDescent="0.2">
      <c r="A494" s="9"/>
      <c r="B494" s="16"/>
      <c r="C494" s="135"/>
      <c r="D494" s="13"/>
      <c r="E494" s="13"/>
      <c r="F494" s="11"/>
      <c r="G494" s="71"/>
      <c r="H494" s="70"/>
      <c r="I494" s="70"/>
      <c r="J494" s="71"/>
    </row>
    <row r="495" spans="1:10" x14ac:dyDescent="0.2">
      <c r="A495" s="9"/>
      <c r="B495" s="35"/>
      <c r="C495" s="140"/>
      <c r="D495" s="14"/>
      <c r="E495" s="14"/>
      <c r="F495" s="15"/>
      <c r="G495" s="71"/>
      <c r="H495" s="70"/>
      <c r="I495" s="70"/>
      <c r="J495" s="71"/>
    </row>
    <row r="496" spans="1:10" x14ac:dyDescent="0.2">
      <c r="A496" s="9"/>
      <c r="B496" s="16"/>
      <c r="C496" s="135"/>
      <c r="D496" s="13"/>
      <c r="E496" s="13"/>
      <c r="F496" s="11"/>
      <c r="G496" s="71"/>
      <c r="H496" s="70"/>
      <c r="I496" s="70"/>
      <c r="J496" s="71"/>
    </row>
    <row r="497" spans="1:10" x14ac:dyDescent="0.2">
      <c r="A497" s="9"/>
      <c r="B497" s="35"/>
      <c r="C497" s="140"/>
      <c r="D497" s="14"/>
      <c r="E497" s="14"/>
      <c r="F497" s="15"/>
      <c r="G497" s="71"/>
      <c r="H497" s="70"/>
      <c r="I497" s="70"/>
      <c r="J497" s="71"/>
    </row>
    <row r="498" spans="1:10" x14ac:dyDescent="0.2">
      <c r="A498" s="9"/>
      <c r="B498" s="16"/>
      <c r="C498" s="135"/>
      <c r="D498" s="13"/>
      <c r="E498" s="13"/>
      <c r="F498" s="11"/>
      <c r="G498" s="71"/>
      <c r="H498" s="70"/>
      <c r="I498" s="70"/>
      <c r="J498" s="71"/>
    </row>
    <row r="499" spans="1:10" x14ac:dyDescent="0.2">
      <c r="A499" s="9"/>
      <c r="B499" s="35"/>
      <c r="C499" s="140"/>
      <c r="D499" s="14"/>
      <c r="E499" s="14"/>
      <c r="F499" s="15"/>
      <c r="G499" s="71"/>
      <c r="H499" s="70"/>
      <c r="I499" s="70"/>
      <c r="J499" s="71"/>
    </row>
    <row r="500" spans="1:10" x14ac:dyDescent="0.2">
      <c r="A500" s="9"/>
      <c r="B500" s="35"/>
      <c r="C500" s="140"/>
      <c r="D500" s="14"/>
      <c r="E500" s="14"/>
      <c r="F500" s="15"/>
      <c r="G500" s="71"/>
      <c r="H500" s="70"/>
      <c r="I500" s="70"/>
      <c r="J500" s="71"/>
    </row>
    <row r="501" spans="1:10" x14ac:dyDescent="0.2">
      <c r="A501" s="9"/>
      <c r="B501" s="16"/>
      <c r="C501" s="135"/>
      <c r="D501" s="13"/>
      <c r="E501" s="13"/>
      <c r="F501" s="11"/>
      <c r="G501" s="71"/>
      <c r="H501" s="70"/>
      <c r="I501" s="70"/>
      <c r="J501" s="71"/>
    </row>
    <row r="502" spans="1:10" x14ac:dyDescent="0.2">
      <c r="A502" s="9"/>
      <c r="B502" s="35"/>
      <c r="C502" s="140"/>
      <c r="D502" s="14"/>
      <c r="E502" s="14"/>
      <c r="F502" s="15"/>
      <c r="G502" s="71"/>
      <c r="H502" s="70"/>
      <c r="I502" s="70"/>
      <c r="J502" s="71"/>
    </row>
    <row r="503" spans="1:10" x14ac:dyDescent="0.2">
      <c r="A503" s="9"/>
      <c r="B503" s="16"/>
      <c r="C503" s="135"/>
      <c r="D503" s="13"/>
      <c r="E503" s="13"/>
      <c r="F503" s="11"/>
      <c r="G503" s="71"/>
      <c r="H503" s="70"/>
      <c r="I503" s="70"/>
      <c r="J503" s="71"/>
    </row>
    <row r="504" spans="1:10" x14ac:dyDescent="0.2">
      <c r="A504" s="9"/>
      <c r="B504" s="35"/>
      <c r="C504" s="140"/>
      <c r="D504" s="14"/>
      <c r="E504" s="14"/>
      <c r="F504" s="15"/>
      <c r="G504" s="71"/>
      <c r="H504" s="70"/>
      <c r="I504" s="70"/>
      <c r="J504" s="71"/>
    </row>
    <row r="505" spans="1:10" x14ac:dyDescent="0.2">
      <c r="A505" s="9"/>
      <c r="B505" s="16"/>
      <c r="C505" s="135"/>
      <c r="D505" s="13"/>
      <c r="E505" s="13"/>
      <c r="F505" s="11"/>
      <c r="G505" s="71"/>
      <c r="H505" s="70"/>
      <c r="I505" s="70"/>
      <c r="J505" s="71"/>
    </row>
    <row r="506" spans="1:10" x14ac:dyDescent="0.2">
      <c r="A506" s="9"/>
      <c r="B506" s="35"/>
      <c r="C506" s="140"/>
      <c r="D506" s="14"/>
      <c r="E506" s="14"/>
      <c r="F506" s="15"/>
      <c r="G506" s="71"/>
      <c r="H506" s="70"/>
      <c r="I506" s="70"/>
      <c r="J506" s="71"/>
    </row>
    <row r="507" spans="1:10" x14ac:dyDescent="0.2">
      <c r="A507" s="9"/>
      <c r="B507" s="35"/>
      <c r="C507" s="140"/>
      <c r="D507" s="14"/>
      <c r="E507" s="14"/>
      <c r="F507" s="15"/>
      <c r="G507" s="71"/>
      <c r="H507" s="70"/>
      <c r="I507" s="70"/>
      <c r="J507" s="71"/>
    </row>
    <row r="508" spans="1:10" x14ac:dyDescent="0.2">
      <c r="A508" s="9"/>
      <c r="B508" s="16"/>
      <c r="C508" s="135"/>
      <c r="D508" s="13"/>
      <c r="E508" s="13"/>
      <c r="F508" s="11"/>
      <c r="G508" s="71"/>
      <c r="H508" s="70"/>
      <c r="I508" s="70"/>
      <c r="J508" s="71"/>
    </row>
    <row r="509" spans="1:10" x14ac:dyDescent="0.2">
      <c r="A509" s="9"/>
      <c r="B509" s="16"/>
      <c r="C509" s="140"/>
      <c r="D509" s="14"/>
      <c r="E509" s="14"/>
      <c r="F509" s="15"/>
      <c r="G509" s="71"/>
      <c r="H509" s="70"/>
      <c r="I509" s="70"/>
      <c r="J509" s="71"/>
    </row>
    <row r="510" spans="1:10" x14ac:dyDescent="0.2">
      <c r="A510" s="9"/>
      <c r="B510" s="16"/>
      <c r="C510" s="135"/>
      <c r="D510" s="13"/>
      <c r="E510" s="13"/>
      <c r="F510" s="11"/>
      <c r="G510" s="71"/>
      <c r="H510" s="70"/>
      <c r="I510" s="70"/>
      <c r="J510" s="71"/>
    </row>
    <row r="511" spans="1:10" x14ac:dyDescent="0.2">
      <c r="A511" s="9"/>
      <c r="B511" s="16"/>
      <c r="C511" s="140"/>
      <c r="D511" s="14"/>
      <c r="E511" s="14"/>
      <c r="F511" s="15"/>
      <c r="G511" s="71"/>
      <c r="H511" s="70"/>
      <c r="I511" s="70"/>
      <c r="J511" s="71"/>
    </row>
    <row r="512" spans="1:10" x14ac:dyDescent="0.2">
      <c r="A512" s="9"/>
      <c r="B512" s="36"/>
      <c r="C512" s="145"/>
      <c r="D512" s="22"/>
      <c r="E512" s="23"/>
      <c r="F512" s="24"/>
      <c r="G512" s="71"/>
      <c r="H512" s="70"/>
      <c r="I512" s="70"/>
      <c r="J512" s="71"/>
    </row>
    <row r="513" spans="1:10" x14ac:dyDescent="0.2">
      <c r="A513" s="9"/>
      <c r="B513" s="25"/>
      <c r="C513" s="132"/>
      <c r="D513" s="26"/>
      <c r="E513" s="27"/>
      <c r="F513" s="28"/>
      <c r="G513" s="71"/>
      <c r="H513" s="70"/>
      <c r="I513" s="70"/>
      <c r="J513" s="71"/>
    </row>
    <row r="514" spans="1:10" x14ac:dyDescent="0.2">
      <c r="A514" s="9"/>
      <c r="B514" s="25"/>
      <c r="C514" s="158"/>
      <c r="D514" s="26"/>
      <c r="E514" s="27"/>
      <c r="F514" s="28"/>
      <c r="G514" s="71"/>
      <c r="H514" s="70"/>
      <c r="I514" s="70"/>
      <c r="J514" s="71"/>
    </row>
    <row r="515" spans="1:10" x14ac:dyDescent="0.2">
      <c r="A515" s="9"/>
      <c r="B515" s="36"/>
      <c r="C515" s="145"/>
      <c r="D515" s="22"/>
      <c r="E515" s="23"/>
      <c r="F515" s="24"/>
      <c r="G515" s="71"/>
      <c r="H515" s="70"/>
      <c r="I515" s="70"/>
      <c r="J515" s="71"/>
    </row>
    <row r="516" spans="1:10" x14ac:dyDescent="0.2">
      <c r="A516" s="9"/>
      <c r="B516" s="25"/>
      <c r="C516" s="158"/>
      <c r="D516" s="26"/>
      <c r="E516" s="27"/>
      <c r="F516" s="28"/>
      <c r="G516" s="71"/>
      <c r="H516" s="70"/>
      <c r="I516" s="70"/>
      <c r="J516" s="71"/>
    </row>
    <row r="517" spans="1:10" x14ac:dyDescent="0.2">
      <c r="A517" s="9"/>
      <c r="B517" s="36"/>
      <c r="C517" s="145"/>
      <c r="D517" s="22"/>
      <c r="E517" s="23"/>
      <c r="F517" s="24"/>
    </row>
    <row r="518" spans="1:10" x14ac:dyDescent="0.2">
      <c r="A518" s="9"/>
      <c r="B518" s="25"/>
      <c r="C518" s="132"/>
      <c r="D518" s="26"/>
      <c r="E518" s="27"/>
      <c r="F518" s="28"/>
    </row>
    <row r="519" spans="1:10" x14ac:dyDescent="0.2">
      <c r="A519" s="9"/>
      <c r="B519" s="36"/>
      <c r="C519" s="145"/>
      <c r="D519" s="22"/>
      <c r="E519" s="23"/>
      <c r="F519" s="24"/>
    </row>
    <row r="520" spans="1:10" x14ac:dyDescent="0.2">
      <c r="A520" s="9"/>
      <c r="B520" s="25"/>
      <c r="C520" s="132"/>
      <c r="D520" s="26"/>
      <c r="E520" s="27"/>
      <c r="F520" s="28"/>
    </row>
    <row r="521" spans="1:10" x14ac:dyDescent="0.2">
      <c r="A521" s="9"/>
      <c r="B521" s="36"/>
      <c r="C521" s="145"/>
      <c r="D521" s="23"/>
      <c r="E521" s="23"/>
      <c r="F521" s="24"/>
    </row>
    <row r="522" spans="1:10" x14ac:dyDescent="0.2">
      <c r="A522" s="9"/>
      <c r="B522" s="36"/>
      <c r="C522" s="145"/>
      <c r="D522" s="22"/>
      <c r="E522" s="23"/>
      <c r="F522" s="24"/>
    </row>
    <row r="523" spans="1:10" x14ac:dyDescent="0.2">
      <c r="A523" s="9"/>
      <c r="B523" s="36"/>
      <c r="C523" s="145"/>
      <c r="D523" s="23"/>
      <c r="E523" s="23"/>
      <c r="F523" s="24"/>
    </row>
    <row r="524" spans="1:10" x14ac:dyDescent="0.2">
      <c r="A524" s="9"/>
    </row>
  </sheetData>
  <mergeCells count="13">
    <mergeCell ref="D162:D163"/>
    <mergeCell ref="E162:E163"/>
    <mergeCell ref="F162:F163"/>
    <mergeCell ref="A184:C184"/>
    <mergeCell ref="E3:E4"/>
    <mergeCell ref="F3:F4"/>
    <mergeCell ref="A3:A4"/>
    <mergeCell ref="B3:B4"/>
    <mergeCell ref="C3:C4"/>
    <mergeCell ref="D3:D4"/>
    <mergeCell ref="A162:A163"/>
    <mergeCell ref="B162:B163"/>
    <mergeCell ref="C162:C163"/>
  </mergeCells>
  <phoneticPr fontId="5" type="noConversion"/>
  <pageMargins left="0.7" right="0.7" top="0.75" bottom="0.75" header="0.3" footer="0.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všechny ÚZ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Krupčík Ivan</cp:lastModifiedBy>
  <cp:lastPrinted>2015-03-18T13:44:30Z</cp:lastPrinted>
  <dcterms:created xsi:type="dcterms:W3CDTF">2011-01-06T08:18:14Z</dcterms:created>
  <dcterms:modified xsi:type="dcterms:W3CDTF">2015-05-21T10:38:27Z</dcterms:modified>
</cp:coreProperties>
</file>