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gielda\AppData\Local\Microsoft\Windows\INetCache\Content.Outlook\N7NYZJGN\"/>
    </mc:Choice>
  </mc:AlternateContent>
  <xr:revisionPtr revIDLastSave="0" documentId="13_ncr:1_{D413B528-64DA-4493-9DC4-FD559DFBA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ě SMO 2024" sheetId="3" r:id="rId1"/>
    <sheet name="Srovnání daní 2021–24" sheetId="1" r:id="rId2"/>
  </sheets>
  <definedNames>
    <definedName name="_xlnm.Print_Area" localSheetId="0">'Daně SMO 2024'!$A$1:$M$41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B36" i="3"/>
  <c r="K16" i="3"/>
  <c r="H16" i="3"/>
  <c r="E16" i="3"/>
  <c r="B16" i="3"/>
  <c r="E39" i="1"/>
  <c r="M18" i="1"/>
  <c r="I39" i="1"/>
  <c r="I18" i="1"/>
  <c r="E18" i="1"/>
  <c r="Q18" i="1"/>
  <c r="Q17" i="1"/>
  <c r="E17" i="1"/>
  <c r="I38" i="1"/>
  <c r="I17" i="1"/>
  <c r="K15" i="3"/>
  <c r="B15" i="3"/>
  <c r="E35" i="3"/>
  <c r="E15" i="3"/>
  <c r="K14" i="3"/>
  <c r="Q16" i="1"/>
  <c r="I16" i="1"/>
  <c r="E16" i="1"/>
  <c r="I37" i="1"/>
  <c r="E37" i="1"/>
  <c r="M16" i="1"/>
  <c r="E14" i="3"/>
  <c r="B14" i="3"/>
  <c r="E34" i="3"/>
  <c r="B34" i="3"/>
  <c r="H14" i="3"/>
  <c r="E15" i="1"/>
  <c r="Q15" i="1"/>
  <c r="E36" i="1"/>
  <c r="I15" i="1"/>
  <c r="I36" i="1"/>
  <c r="E33" i="3"/>
  <c r="B13" i="3"/>
  <c r="K13" i="3"/>
  <c r="B33" i="3"/>
  <c r="E13" i="3"/>
  <c r="I35" i="1" l="1"/>
  <c r="I14" i="1"/>
  <c r="Q14" i="1"/>
  <c r="E14" i="1"/>
  <c r="E35" i="1"/>
  <c r="E32" i="3"/>
  <c r="E12" i="3"/>
  <c r="K12" i="3"/>
  <c r="B12" i="3"/>
  <c r="B32" i="3"/>
  <c r="E13" i="1"/>
  <c r="Q13" i="1"/>
  <c r="E34" i="1"/>
  <c r="I13" i="1"/>
  <c r="I34" i="1"/>
  <c r="B11" i="3"/>
  <c r="K11" i="3"/>
  <c r="B31" i="3"/>
  <c r="E11" i="3"/>
  <c r="E31" i="3"/>
  <c r="Q12" i="1"/>
  <c r="E12" i="1"/>
  <c r="E33" i="1"/>
  <c r="I12" i="1"/>
  <c r="I33" i="1"/>
  <c r="M12" i="1"/>
  <c r="K10" i="3"/>
  <c r="B10" i="3"/>
  <c r="B30" i="3"/>
  <c r="E10" i="3"/>
  <c r="E30" i="3"/>
  <c r="H10" i="3"/>
  <c r="M11" i="1"/>
  <c r="E32" i="1"/>
  <c r="I11" i="1"/>
  <c r="Q11" i="1"/>
  <c r="E11" i="1"/>
  <c r="I32" i="1"/>
  <c r="H9" i="3"/>
  <c r="B29" i="3"/>
  <c r="E9" i="3"/>
  <c r="K9" i="3"/>
  <c r="B9" i="3"/>
  <c r="E29" i="3"/>
  <c r="K32" i="1"/>
  <c r="K33" i="1"/>
  <c r="K34" i="1"/>
  <c r="K35" i="1"/>
  <c r="K36" i="1"/>
  <c r="K37" i="1"/>
  <c r="K38" i="1"/>
  <c r="K39" i="1"/>
  <c r="K40" i="1"/>
  <c r="K41" i="1"/>
  <c r="K42" i="1"/>
  <c r="K31" i="1"/>
  <c r="J31" i="1"/>
  <c r="L32" i="1"/>
  <c r="L31" i="1"/>
  <c r="E31" i="1"/>
  <c r="E10" i="1"/>
  <c r="I10" i="1"/>
  <c r="M10" i="1"/>
  <c r="I31" i="1"/>
  <c r="Q10" i="1"/>
  <c r="B28" i="3"/>
  <c r="B8" i="3"/>
  <c r="E8" i="3"/>
  <c r="H8" i="3"/>
  <c r="E28" i="3"/>
  <c r="K8" i="3"/>
  <c r="L41" i="1"/>
  <c r="I43" i="1" l="1"/>
  <c r="H33" i="3"/>
  <c r="H43" i="1" l="1"/>
  <c r="L39" i="1"/>
  <c r="D43" i="1"/>
  <c r="P22" i="1"/>
  <c r="L22" i="1"/>
  <c r="H22" i="1"/>
  <c r="D22" i="1"/>
  <c r="J42" i="1"/>
  <c r="O22" i="1"/>
  <c r="N22" i="1"/>
  <c r="J33" i="1"/>
  <c r="K22" i="1"/>
  <c r="G22" i="1"/>
  <c r="F22" i="1"/>
  <c r="C22" i="1"/>
  <c r="C43" i="1"/>
  <c r="F43" i="1"/>
  <c r="L35" i="1"/>
  <c r="M32" i="1"/>
  <c r="M33" i="1"/>
  <c r="M34" i="1"/>
  <c r="M35" i="1"/>
  <c r="M36" i="1"/>
  <c r="M37" i="1"/>
  <c r="M38" i="1"/>
  <c r="M39" i="1"/>
  <c r="M40" i="1"/>
  <c r="M41" i="1"/>
  <c r="M42" i="1"/>
  <c r="M31" i="1"/>
  <c r="Q22" i="1"/>
  <c r="I40" i="3"/>
  <c r="H39" i="3"/>
  <c r="H38" i="3"/>
  <c r="H37" i="3"/>
  <c r="H36" i="3"/>
  <c r="H35" i="3"/>
  <c r="H34" i="3"/>
  <c r="H32" i="3"/>
  <c r="H31" i="3"/>
  <c r="H30" i="3"/>
  <c r="H29" i="3"/>
  <c r="L8" i="3"/>
  <c r="L16" i="3" s="1"/>
  <c r="L37" i="1" l="1"/>
  <c r="L36" i="1"/>
  <c r="L40" i="1"/>
  <c r="L34" i="1"/>
  <c r="L42" i="1"/>
  <c r="L38" i="1"/>
  <c r="L33" i="1"/>
  <c r="J34" i="1"/>
  <c r="J38" i="1"/>
  <c r="J35" i="1"/>
  <c r="J40" i="1"/>
  <c r="J22" i="1"/>
  <c r="J41" i="1"/>
  <c r="J37" i="1"/>
  <c r="J39" i="1"/>
  <c r="B22" i="1"/>
  <c r="J32" i="1"/>
  <c r="J36" i="1"/>
  <c r="B43" i="1"/>
  <c r="G43" i="1"/>
  <c r="M22" i="1"/>
  <c r="H28" i="3"/>
  <c r="L9" i="3"/>
  <c r="M9" i="3" s="1"/>
  <c r="L13" i="3"/>
  <c r="M13" i="3" s="1"/>
  <c r="L11" i="3"/>
  <c r="M11" i="3" s="1"/>
  <c r="L17" i="3"/>
  <c r="M17" i="3" s="1"/>
  <c r="M8" i="3"/>
  <c r="L15" i="3"/>
  <c r="M15" i="3" s="1"/>
  <c r="M16" i="3"/>
  <c r="L19" i="3"/>
  <c r="M19" i="3" s="1"/>
  <c r="L10" i="3"/>
  <c r="M10" i="3" s="1"/>
  <c r="L14" i="3"/>
  <c r="M14" i="3" s="1"/>
  <c r="L18" i="3"/>
  <c r="M18" i="3" s="1"/>
  <c r="K20" i="3"/>
  <c r="L12" i="3"/>
  <c r="M12" i="3" s="1"/>
  <c r="L43" i="1" l="1"/>
  <c r="J43" i="1"/>
  <c r="K43" i="1"/>
  <c r="H20" i="3" l="1"/>
  <c r="E22" i="1" l="1"/>
  <c r="B40" i="3" l="1"/>
  <c r="B20" i="3"/>
  <c r="I22" i="1"/>
  <c r="E43" i="1"/>
  <c r="F28" i="3"/>
  <c r="F39" i="3" s="1"/>
  <c r="G39" i="3" s="1"/>
  <c r="C28" i="3"/>
  <c r="C39" i="3" s="1"/>
  <c r="D39" i="3" s="1"/>
  <c r="I8" i="3"/>
  <c r="I19" i="3" s="1"/>
  <c r="J19" i="3" s="1"/>
  <c r="F8" i="3"/>
  <c r="F19" i="3" s="1"/>
  <c r="G19" i="3" s="1"/>
  <c r="C8" i="3"/>
  <c r="C19" i="3" s="1"/>
  <c r="D19" i="3" s="1"/>
  <c r="E40" i="3"/>
  <c r="E20" i="3"/>
  <c r="M43" i="1" l="1"/>
  <c r="H40" i="3"/>
  <c r="C9" i="3"/>
  <c r="D9" i="3" s="1"/>
  <c r="C16" i="3"/>
  <c r="D16" i="3" s="1"/>
  <c r="C29" i="3"/>
  <c r="D29" i="3" s="1"/>
  <c r="C30" i="3"/>
  <c r="D30" i="3" s="1"/>
  <c r="C34" i="3"/>
  <c r="D34" i="3" s="1"/>
  <c r="F34" i="3"/>
  <c r="G34" i="3" s="1"/>
  <c r="F11" i="3"/>
  <c r="G11" i="3" s="1"/>
  <c r="F9" i="3"/>
  <c r="G9" i="3" s="1"/>
  <c r="C12" i="3"/>
  <c r="D12" i="3" s="1"/>
  <c r="F15" i="3"/>
  <c r="G15" i="3" s="1"/>
  <c r="C13" i="3"/>
  <c r="D13" i="3" s="1"/>
  <c r="D8" i="3"/>
  <c r="C11" i="3"/>
  <c r="D11" i="3" s="1"/>
  <c r="C10" i="3"/>
  <c r="D10" i="3" s="1"/>
  <c r="F36" i="3"/>
  <c r="G36" i="3" s="1"/>
  <c r="F31" i="3"/>
  <c r="G31" i="3" s="1"/>
  <c r="G28" i="3"/>
  <c r="F32" i="3"/>
  <c r="G32" i="3" s="1"/>
  <c r="C36" i="3"/>
  <c r="D36" i="3" s="1"/>
  <c r="C38" i="3"/>
  <c r="D38" i="3" s="1"/>
  <c r="G8" i="3"/>
  <c r="F10" i="3"/>
  <c r="G10" i="3" s="1"/>
  <c r="F16" i="3"/>
  <c r="G16" i="3" s="1"/>
  <c r="F14" i="3"/>
  <c r="G14" i="3" s="1"/>
  <c r="F18" i="3"/>
  <c r="G18" i="3" s="1"/>
  <c r="F38" i="3"/>
  <c r="G38" i="3" s="1"/>
  <c r="F37" i="3"/>
  <c r="G37" i="3" s="1"/>
  <c r="F35" i="3"/>
  <c r="G35" i="3" s="1"/>
  <c r="F29" i="3"/>
  <c r="G29" i="3" s="1"/>
  <c r="F30" i="3"/>
  <c r="G30" i="3" s="1"/>
  <c r="F33" i="3"/>
  <c r="G33" i="3" s="1"/>
  <c r="F12" i="3"/>
  <c r="G12" i="3" s="1"/>
  <c r="F13" i="3"/>
  <c r="G13" i="3" s="1"/>
  <c r="F17" i="3"/>
  <c r="G17" i="3" s="1"/>
  <c r="J8" i="3"/>
  <c r="I13" i="3"/>
  <c r="J13" i="3" s="1"/>
  <c r="I14" i="3"/>
  <c r="J14" i="3" s="1"/>
  <c r="I9" i="3"/>
  <c r="J9" i="3" s="1"/>
  <c r="I16" i="3"/>
  <c r="J16" i="3" s="1"/>
  <c r="I17" i="3"/>
  <c r="J17" i="3" s="1"/>
  <c r="I18" i="3"/>
  <c r="J18" i="3" s="1"/>
  <c r="I10" i="3"/>
  <c r="J10" i="3" s="1"/>
  <c r="I11" i="3"/>
  <c r="J11" i="3" s="1"/>
  <c r="I12" i="3"/>
  <c r="J12" i="3" s="1"/>
  <c r="I15" i="3"/>
  <c r="J15" i="3" s="1"/>
  <c r="C14" i="3"/>
  <c r="D14" i="3" s="1"/>
  <c r="C15" i="3"/>
  <c r="D15" i="3" s="1"/>
  <c r="C17" i="3"/>
  <c r="D17" i="3" s="1"/>
  <c r="C18" i="3"/>
  <c r="D18" i="3" s="1"/>
  <c r="D28" i="3"/>
  <c r="C31" i="3"/>
  <c r="D31" i="3" s="1"/>
  <c r="C32" i="3"/>
  <c r="D32" i="3" s="1"/>
  <c r="C33" i="3"/>
  <c r="D33" i="3" s="1"/>
  <c r="C35" i="3"/>
  <c r="D35" i="3" s="1"/>
  <c r="C37" i="3"/>
  <c r="D37" i="3" s="1"/>
  <c r="I28" i="3"/>
  <c r="I37" i="3" s="1"/>
  <c r="J37" i="3" s="1"/>
  <c r="K37" i="3" s="1"/>
  <c r="I36" i="3" l="1"/>
  <c r="J36" i="3" s="1"/>
  <c r="K36" i="3" s="1"/>
  <c r="I34" i="3"/>
  <c r="J34" i="3" s="1"/>
  <c r="K34" i="3" s="1"/>
  <c r="I31" i="3"/>
  <c r="J31" i="3" s="1"/>
  <c r="K31" i="3" s="1"/>
  <c r="I30" i="3"/>
  <c r="J30" i="3" s="1"/>
  <c r="K30" i="3" s="1"/>
  <c r="I29" i="3"/>
  <c r="J29" i="3" s="1"/>
  <c r="K29" i="3" s="1"/>
  <c r="J28" i="3"/>
  <c r="K28" i="3" s="1"/>
  <c r="I33" i="3"/>
  <c r="J33" i="3" s="1"/>
  <c r="K33" i="3" s="1"/>
  <c r="I32" i="3"/>
  <c r="J32" i="3" s="1"/>
  <c r="K32" i="3" s="1"/>
  <c r="I38" i="3"/>
  <c r="J38" i="3" s="1"/>
  <c r="K38" i="3" s="1"/>
  <c r="I39" i="3"/>
  <c r="J39" i="3" s="1"/>
  <c r="K39" i="3" s="1"/>
  <c r="I35" i="3"/>
  <c r="J35" i="3" s="1"/>
  <c r="K35" i="3" s="1"/>
</calcChain>
</file>

<file path=xl/sharedStrings.xml><?xml version="1.0" encoding="utf-8"?>
<sst xmlns="http://schemas.openxmlformats.org/spreadsheetml/2006/main" count="129" uniqueCount="47">
  <si>
    <t>měsíc</t>
  </si>
  <si>
    <t>2612-1111</t>
  </si>
  <si>
    <t>4634-1111</t>
  </si>
  <si>
    <t>1652-1112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</si>
  <si>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</si>
  <si>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</si>
  <si>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</si>
  <si>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</si>
  <si>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</si>
  <si>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</si>
  <si>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</si>
  <si>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</si>
  <si>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</si>
  <si>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</si>
  <si>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</si>
  <si>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</si>
  <si>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</si>
  <si>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daně města celkem</t>
  </si>
  <si>
    <t>1660-1113</t>
  </si>
  <si>
    <t>641-1121</t>
  </si>
  <si>
    <t>1679-1211</t>
  </si>
  <si>
    <t>(srovnání daní dle skutečnosti v Kč)</t>
  </si>
  <si>
    <t xml:space="preserve">daně města celkem </t>
  </si>
  <si>
    <t>podíl z ročního rozpočtu</t>
  </si>
  <si>
    <t>rozdíl proti ročnímu podílu</t>
  </si>
  <si>
    <t>% propadu
oproti SR</t>
  </si>
  <si>
    <t>rok 2021</t>
  </si>
  <si>
    <t>rok 2022</t>
  </si>
  <si>
    <t>v Kč</t>
  </si>
  <si>
    <r>
      <rPr>
        <b/>
        <sz val="8"/>
        <rFont val="Arial CE"/>
        <charset val="238"/>
      </rPr>
      <t>daň z příjmů fyzických osob placená plátci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- motivační část (1,5 % pro obce)</t>
    </r>
  </si>
  <si>
    <r>
      <t>4634-1111   daň z příjmů fyzických osob placená plátci</t>
    </r>
    <r>
      <rPr>
        <sz val="8"/>
        <rFont val="Arial CE"/>
        <family val="2"/>
        <charset val="238"/>
      </rPr>
      <t xml:space="preserve">
sdílená daň - motivační část (1,5 % pro obce)</t>
    </r>
  </si>
  <si>
    <t>rok 2023</t>
  </si>
  <si>
    <t>Daně statutárního města Ostravy v roce 2024</t>
  </si>
  <si>
    <r>
      <rPr>
        <b/>
        <sz val="8"/>
        <rFont val="Arial CE"/>
        <charset val="238"/>
      </rPr>
      <t>daň z přidané hodnoty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(24,92 % pro obce)</t>
    </r>
  </si>
  <si>
    <r>
      <rPr>
        <b/>
        <sz val="8"/>
        <rFont val="Arial CE"/>
        <charset val="238"/>
      </rPr>
      <t>daň z příjmů právnických osob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(24,92 % pro obce)</t>
    </r>
  </si>
  <si>
    <r>
      <rPr>
        <b/>
        <sz val="8"/>
        <rFont val="Arial CE"/>
        <charset val="238"/>
      </rPr>
      <t>daň z příjmů fyzických osob vybíraná srážkou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(24,92 % pro obce)</t>
    </r>
  </si>
  <si>
    <r>
      <rPr>
        <b/>
        <sz val="8"/>
        <rFont val="Arial CE"/>
        <charset val="238"/>
      </rPr>
      <t>daň z příjmů fyzických osob placená plátci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(24,92 % pro obce)</t>
    </r>
  </si>
  <si>
    <r>
      <rPr>
        <b/>
        <sz val="8"/>
        <rFont val="Arial CE"/>
        <charset val="238"/>
      </rPr>
      <t>daň z příjmů fyzických osob placená poplatníky</t>
    </r>
    <r>
      <rPr>
        <sz val="8"/>
        <rFont val="Arial CE"/>
        <family val="2"/>
        <charset val="238"/>
      </rPr>
      <t xml:space="preserve">
</t>
    </r>
    <r>
      <rPr>
        <sz val="8"/>
        <rFont val="Arial CE"/>
        <charset val="238"/>
      </rPr>
      <t>sdílená daň (24,92 % pro obce)</t>
    </r>
  </si>
  <si>
    <t>Daně statutárního města Ostravy v letech 2021 - 2024</t>
  </si>
  <si>
    <r>
      <t>2612-1111   daň z příjmů fyzických osob placená plátci</t>
    </r>
    <r>
      <rPr>
        <sz val="8"/>
        <rFont val="Arial CE"/>
        <family val="2"/>
        <charset val="238"/>
      </rPr>
      <t xml:space="preserve">
sdílená daň (24,92 % pro obce)</t>
    </r>
  </si>
  <si>
    <r>
      <t>1652-1112   daň z příjmů fyzických osob placená poplatníky</t>
    </r>
    <r>
      <rPr>
        <sz val="8"/>
        <rFont val="Arial CE"/>
        <family val="2"/>
        <charset val="238"/>
      </rPr>
      <t xml:space="preserve">
sdílená daň (24,92 % pro obce)</t>
    </r>
  </si>
  <si>
    <r>
      <t>1660-1113   daň z příjmů fyzických osob vybíraná srážkou</t>
    </r>
    <r>
      <rPr>
        <sz val="8"/>
        <rFont val="Arial CE"/>
        <family val="2"/>
        <charset val="238"/>
      </rPr>
      <t xml:space="preserve">
sdílená daň (24,92 % pro obce)</t>
    </r>
  </si>
  <si>
    <r>
      <t>641-1121   daň z příjmů právnických osob</t>
    </r>
    <r>
      <rPr>
        <sz val="8"/>
        <rFont val="Arial CE"/>
        <family val="2"/>
        <charset val="238"/>
      </rPr>
      <t xml:space="preserve">
sdílená daň (24,92 % pro obce)</t>
    </r>
  </si>
  <si>
    <r>
      <t>1679-1211   daň z přidané hodnoty</t>
    </r>
    <r>
      <rPr>
        <sz val="8"/>
        <rFont val="Arial CE"/>
        <family val="2"/>
        <charset val="238"/>
      </rPr>
      <t xml:space="preserve">
sdílená daň (24,92 % pro obce)</t>
    </r>
  </si>
  <si>
    <t>rok 2024</t>
  </si>
  <si>
    <t>stav k 20.09.2024</t>
  </si>
  <si>
    <t>skutečnost roku 2024 - k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</si>
</sst>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#,##0.00_ ;\-#,##0.00\ "/>
    <numFmt numFmtId="166" formatCode="#,##0.00000000_ ;\-#,##0.00000000\ "/>
  </numFmts>
  <fonts count="22" x14ac:knownFonts="1">
    <font>
      <sz val="10"/>
      <name val="Arial CE"/>
      <charset val="238"/>
    </font>
    <font>
      <b/>
      <i/>
      <sz val="16"/>
      <color indexed="8"/>
      <name val="Arial CE"/>
      <family val="2"/>
      <charset val="238"/>
    </font>
    <font>
      <b/>
      <i/>
      <sz val="16"/>
      <color indexed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sz val="7"/>
      <name val="Arial CE"/>
      <charset val="238"/>
    </font>
    <font>
      <sz val="7.5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i/>
      <sz val="16"/>
      <color rgb="FFFF000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8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8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/>
    <xf numFmtId="1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5" fillId="0" borderId="0" xfId="0" applyFont="1"/>
    <xf numFmtId="164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0" fontId="11" fillId="0" borderId="0" xfId="0" applyFont="1"/>
    <xf numFmtId="4" fontId="9" fillId="0" borderId="5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center"/>
    </xf>
    <xf numFmtId="4" fontId="9" fillId="0" borderId="22" xfId="0" applyNumberFormat="1" applyFont="1" applyBorder="1" applyAlignment="1">
      <alignment horizontal="center"/>
    </xf>
    <xf numFmtId="4" fontId="9" fillId="0" borderId="23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/>
    <xf numFmtId="4" fontId="4" fillId="0" borderId="0" xfId="0" applyNumberFormat="1" applyFont="1"/>
    <xf numFmtId="4" fontId="0" fillId="0" borderId="0" xfId="0" applyNumberFormat="1"/>
    <xf numFmtId="4" fontId="10" fillId="0" borderId="0" xfId="0" applyNumberFormat="1" applyFont="1"/>
    <xf numFmtId="165" fontId="13" fillId="0" borderId="0" xfId="0" applyNumberFormat="1" applyFont="1"/>
    <xf numFmtId="0" fontId="9" fillId="3" borderId="0" xfId="0" applyFont="1" applyFill="1" applyAlignment="1">
      <alignment horizontal="center"/>
    </xf>
    <xf numFmtId="4" fontId="9" fillId="3" borderId="22" xfId="0" applyNumberFormat="1" applyFont="1" applyFill="1" applyBorder="1" applyAlignment="1">
      <alignment horizontal="center"/>
    </xf>
    <xf numFmtId="165" fontId="4" fillId="0" borderId="0" xfId="0" applyNumberFormat="1" applyFont="1"/>
    <xf numFmtId="4" fontId="14" fillId="0" borderId="0" xfId="0" applyNumberFormat="1" applyFont="1"/>
    <xf numFmtId="0" fontId="4" fillId="0" borderId="1" xfId="0" applyFont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3" borderId="38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15" fillId="0" borderId="0" xfId="0" applyFont="1"/>
    <xf numFmtId="166" fontId="0" fillId="0" borderId="0" xfId="0" applyNumberFormat="1"/>
    <xf numFmtId="165" fontId="17" fillId="0" borderId="0" xfId="0" applyNumberFormat="1" applyFont="1"/>
    <xf numFmtId="0" fontId="17" fillId="0" borderId="0" xfId="0" applyFont="1" applyAlignment="1">
      <alignment horizontal="right"/>
    </xf>
    <xf numFmtId="14" fontId="17" fillId="0" borderId="0" xfId="0" applyNumberFormat="1" applyFont="1" applyAlignment="1">
      <alignment horizontal="right"/>
    </xf>
    <xf numFmtId="164" fontId="4" fillId="3" borderId="28" xfId="0" applyNumberFormat="1" applyFont="1" applyFill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3" borderId="5" xfId="0" applyFont="1" applyFill="1" applyBorder="1"/>
    <xf numFmtId="3" fontId="4" fillId="3" borderId="24" xfId="0" applyNumberFormat="1" applyFont="1" applyFill="1" applyBorder="1" applyAlignment="1">
      <alignment vertical="center"/>
    </xf>
    <xf numFmtId="3" fontId="4" fillId="3" borderId="26" xfId="0" applyNumberFormat="1" applyFont="1" applyFill="1" applyBorder="1" applyAlignment="1">
      <alignment vertical="center"/>
    </xf>
    <xf numFmtId="3" fontId="16" fillId="4" borderId="31" xfId="0" applyNumberFormat="1" applyFont="1" applyFill="1" applyBorder="1" applyAlignment="1">
      <alignment vertical="center"/>
    </xf>
    <xf numFmtId="3" fontId="16" fillId="4" borderId="36" xfId="0" applyNumberFormat="1" applyFont="1" applyFill="1" applyBorder="1" applyAlignment="1">
      <alignment vertical="center"/>
    </xf>
    <xf numFmtId="3" fontId="6" fillId="3" borderId="7" xfId="0" applyNumberFormat="1" applyFont="1" applyFill="1" applyBorder="1"/>
    <xf numFmtId="3" fontId="6" fillId="3" borderId="6" xfId="0" applyNumberFormat="1" applyFont="1" applyFill="1" applyBorder="1"/>
    <xf numFmtId="3" fontId="16" fillId="4" borderId="33" xfId="0" applyNumberFormat="1" applyFont="1" applyFill="1" applyBorder="1"/>
    <xf numFmtId="0" fontId="4" fillId="2" borderId="59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33" xfId="0" applyFont="1" applyBorder="1"/>
    <xf numFmtId="3" fontId="4" fillId="0" borderId="2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60" xfId="0" applyNumberFormat="1" applyFont="1" applyBorder="1"/>
    <xf numFmtId="3" fontId="4" fillId="0" borderId="6" xfId="0" applyNumberFormat="1" applyFont="1" applyBorder="1"/>
    <xf numFmtId="3" fontId="4" fillId="0" borderId="26" xfId="0" applyNumberFormat="1" applyFont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3" fontId="4" fillId="0" borderId="2" xfId="0" applyNumberFormat="1" applyFont="1" applyBorder="1"/>
    <xf numFmtId="3" fontId="4" fillId="0" borderId="9" xfId="0" applyNumberFormat="1" applyFont="1" applyBorder="1"/>
    <xf numFmtId="3" fontId="16" fillId="4" borderId="16" xfId="0" applyNumberFormat="1" applyFont="1" applyFill="1" applyBorder="1" applyAlignment="1">
      <alignment vertical="center"/>
    </xf>
    <xf numFmtId="3" fontId="16" fillId="4" borderId="32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right"/>
    </xf>
    <xf numFmtId="164" fontId="10" fillId="5" borderId="14" xfId="0" applyNumberFormat="1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4" fontId="10" fillId="0" borderId="17" xfId="0" applyNumberFormat="1" applyFont="1" applyBorder="1" applyAlignment="1">
      <alignment vertical="center"/>
    </xf>
    <xf numFmtId="10" fontId="10" fillId="0" borderId="16" xfId="0" applyNumberFormat="1" applyFont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10" fillId="5" borderId="46" xfId="0" applyNumberFormat="1" applyFont="1" applyFill="1" applyBorder="1" applyAlignment="1">
      <alignment vertical="center"/>
    </xf>
    <xf numFmtId="10" fontId="0" fillId="0" borderId="0" xfId="0" applyNumberFormat="1"/>
    <xf numFmtId="3" fontId="4" fillId="0" borderId="0" xfId="0" applyNumberFormat="1" applyFont="1" applyAlignment="1">
      <alignment vertical="center"/>
    </xf>
    <xf numFmtId="164" fontId="10" fillId="5" borderId="39" xfId="0" applyNumberFormat="1" applyFont="1" applyFill="1" applyBorder="1" applyAlignment="1">
      <alignment vertical="center"/>
    </xf>
    <xf numFmtId="4" fontId="12" fillId="0" borderId="0" xfId="0" applyNumberFormat="1" applyFont="1"/>
    <xf numFmtId="0" fontId="10" fillId="0" borderId="56" xfId="0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164" fontId="10" fillId="0" borderId="51" xfId="0" applyNumberFormat="1" applyFont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64" fontId="10" fillId="0" borderId="52" xfId="0" applyNumberFormat="1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164" fontId="10" fillId="0" borderId="38" xfId="0" applyNumberFormat="1" applyFont="1" applyBorder="1" applyAlignment="1">
      <alignment vertical="center"/>
    </xf>
    <xf numFmtId="164" fontId="10" fillId="0" borderId="25" xfId="0" applyNumberFormat="1" applyFont="1" applyBorder="1" applyAlignment="1">
      <alignment vertical="center"/>
    </xf>
    <xf numFmtId="164" fontId="10" fillId="0" borderId="53" xfId="0" applyNumberFormat="1" applyFont="1" applyBorder="1" applyAlignment="1">
      <alignment vertical="center"/>
    </xf>
    <xf numFmtId="164" fontId="10" fillId="0" borderId="54" xfId="0" applyNumberFormat="1" applyFont="1" applyBorder="1" applyAlignment="1">
      <alignment vertical="center"/>
    </xf>
    <xf numFmtId="164" fontId="10" fillId="0" borderId="55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10" fillId="0" borderId="0" xfId="0" applyNumberFormat="1" applyFont="1"/>
    <xf numFmtId="4" fontId="13" fillId="0" borderId="0" xfId="0" applyNumberFormat="1" applyFont="1"/>
    <xf numFmtId="164" fontId="10" fillId="5" borderId="13" xfId="0" applyNumberFormat="1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164" fontId="10" fillId="0" borderId="42" xfId="0" applyNumberFormat="1" applyFont="1" applyBorder="1" applyAlignment="1">
      <alignment vertical="center"/>
    </xf>
    <xf numFmtId="164" fontId="10" fillId="0" borderId="39" xfId="0" applyNumberFormat="1" applyFont="1" applyBorder="1" applyAlignment="1">
      <alignment vertical="center"/>
    </xf>
    <xf numFmtId="164" fontId="10" fillId="0" borderId="37" xfId="0" applyNumberFormat="1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64" fontId="10" fillId="0" borderId="40" xfId="0" applyNumberFormat="1" applyFont="1" applyBorder="1" applyAlignment="1">
      <alignment vertical="center"/>
    </xf>
    <xf numFmtId="164" fontId="10" fillId="0" borderId="43" xfId="0" applyNumberFormat="1" applyFont="1" applyBorder="1" applyAlignment="1">
      <alignment vertical="center"/>
    </xf>
    <xf numFmtId="164" fontId="10" fillId="0" borderId="44" xfId="0" applyNumberFormat="1" applyFont="1" applyBorder="1" applyAlignment="1">
      <alignment vertical="center"/>
    </xf>
    <xf numFmtId="164" fontId="10" fillId="0" borderId="24" xfId="0" applyNumberFormat="1" applyFont="1" applyBorder="1" applyAlignment="1">
      <alignment vertical="center"/>
    </xf>
    <xf numFmtId="164" fontId="10" fillId="0" borderId="45" xfId="0" applyNumberFormat="1" applyFont="1" applyBorder="1" applyAlignment="1">
      <alignment vertical="center"/>
    </xf>
    <xf numFmtId="10" fontId="10" fillId="0" borderId="31" xfId="0" applyNumberFormat="1" applyFont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vertical="center"/>
    </xf>
    <xf numFmtId="10" fontId="10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vertical="center"/>
    </xf>
    <xf numFmtId="0" fontId="21" fillId="5" borderId="16" xfId="0" applyFont="1" applyFill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3" fillId="0" borderId="47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164" fontId="10" fillId="0" borderId="40" xfId="1" applyNumberFormat="1" applyFont="1" applyBorder="1" applyAlignment="1">
      <alignment horizontal="justify" vertical="center" wrapText="1"/>
    </xf>
    <xf numFmtId="0" fontId="16" fillId="0" borderId="49" xfId="1" applyFont="1" applyBorder="1" applyAlignment="1">
      <alignment horizontal="justify" vertical="center"/>
    </xf>
    <xf numFmtId="0" fontId="16" fillId="0" borderId="29" xfId="1" applyFont="1" applyBorder="1" applyAlignment="1">
      <alignment horizontal="justify" vertical="center"/>
    </xf>
    <xf numFmtId="0" fontId="16" fillId="0" borderId="38" xfId="1" applyFont="1" applyBorder="1" applyAlignment="1">
      <alignment horizontal="justify" vertical="center"/>
    </xf>
    <xf numFmtId="0" fontId="16" fillId="0" borderId="8" xfId="1" applyFont="1" applyBorder="1" applyAlignment="1">
      <alignment horizontal="justify" vertical="center"/>
    </xf>
    <xf numFmtId="0" fontId="16" fillId="0" borderId="30" xfId="1" applyFont="1" applyBorder="1" applyAlignment="1">
      <alignment horizontal="justify" vertical="center"/>
    </xf>
    <xf numFmtId="0" fontId="10" fillId="0" borderId="40" xfId="1" applyFont="1" applyBorder="1" applyAlignment="1">
      <alignment horizontal="justify" vertical="center" wrapText="1"/>
    </xf>
    <xf numFmtId="0" fontId="7" fillId="3" borderId="40" xfId="1" applyFont="1" applyFill="1" applyBorder="1" applyAlignment="1">
      <alignment horizontal="justify" vertical="center"/>
    </xf>
    <xf numFmtId="0" fontId="4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" xfId="0" applyFont="1" applyBorder="1"/>
    <xf numFmtId="0" fontId="6" fillId="0" borderId="47" xfId="0" applyFont="1" applyBorder="1" applyAlignment="1">
      <alignment vertical="center"/>
    </xf>
    <xf numFmtId="49" fontId="13" fillId="0" borderId="49" xfId="0" applyNumberFormat="1" applyFont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49" xfId="1" applyFont="1" applyBorder="1" applyAlignment="1">
      <alignment horizontal="justify" vertical="center" wrapText="1"/>
    </xf>
    <xf numFmtId="0" fontId="16" fillId="0" borderId="29" xfId="1" applyFont="1" applyBorder="1" applyAlignment="1">
      <alignment horizontal="justify" vertical="center" wrapText="1"/>
    </xf>
    <xf numFmtId="0" fontId="16" fillId="0" borderId="38" xfId="1" applyFont="1" applyBorder="1" applyAlignment="1">
      <alignment horizontal="justify" vertical="center" wrapText="1"/>
    </xf>
    <xf numFmtId="0" fontId="16" fillId="0" borderId="8" xfId="1" applyFont="1" applyBorder="1" applyAlignment="1">
      <alignment horizontal="justify" vertical="center" wrapText="1"/>
    </xf>
    <xf numFmtId="0" fontId="16" fillId="0" borderId="30" xfId="1" applyFont="1" applyBorder="1" applyAlignment="1">
      <alignment horizontal="justify" vertical="center" wrapText="1"/>
    </xf>
    <xf numFmtId="0" fontId="10" fillId="2" borderId="40" xfId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40" xfId="1" applyFont="1" applyBorder="1" applyAlignment="1">
      <alignment horizontal="justify" vertical="center" wrapText="1"/>
    </xf>
    <xf numFmtId="164" fontId="12" fillId="0" borderId="40" xfId="1" applyNumberFormat="1" applyFont="1" applyBorder="1" applyAlignment="1">
      <alignment horizontal="justify" vertical="center" wrapText="1"/>
    </xf>
    <xf numFmtId="0" fontId="12" fillId="0" borderId="49" xfId="1" applyFont="1" applyBorder="1" applyAlignment="1">
      <alignment horizontal="justify" vertical="center" wrapText="1"/>
    </xf>
    <xf numFmtId="0" fontId="6" fillId="0" borderId="49" xfId="1" applyFont="1" applyBorder="1" applyAlignment="1">
      <alignment horizontal="justify" vertical="center" wrapText="1"/>
    </xf>
    <xf numFmtId="0" fontId="6" fillId="0" borderId="29" xfId="1" applyFont="1" applyBorder="1" applyAlignment="1">
      <alignment horizontal="justify" vertical="center" wrapText="1"/>
    </xf>
    <xf numFmtId="0" fontId="12" fillId="2" borderId="40" xfId="1" applyFont="1" applyFill="1" applyBorder="1" applyAlignment="1">
      <alignment horizontal="justify" vertical="center" wrapText="1"/>
    </xf>
    <xf numFmtId="0" fontId="3" fillId="2" borderId="49" xfId="1" applyFont="1" applyFill="1" applyBorder="1" applyAlignment="1">
      <alignment horizontal="justify" vertical="center" wrapText="1"/>
    </xf>
    <xf numFmtId="0" fontId="3" fillId="2" borderId="29" xfId="1" applyFont="1" applyFill="1" applyBorder="1" applyAlignment="1">
      <alignment horizontal="justify" vertical="center" wrapText="1"/>
    </xf>
    <xf numFmtId="0" fontId="4" fillId="0" borderId="34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3" fontId="19" fillId="4" borderId="34" xfId="0" applyNumberFormat="1" applyFont="1" applyFill="1" applyBorder="1" applyAlignment="1">
      <alignment horizontal="center" vertical="center"/>
    </xf>
    <xf numFmtId="3" fontId="19" fillId="4" borderId="35" xfId="0" applyNumberFormat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justify" vertical="center" wrapText="1"/>
    </xf>
    <xf numFmtId="0" fontId="20" fillId="0" borderId="49" xfId="1" applyFont="1" applyBorder="1" applyAlignment="1">
      <alignment horizontal="justify" vertical="center" wrapText="1"/>
    </xf>
    <xf numFmtId="0" fontId="20" fillId="0" borderId="29" xfId="1" applyFont="1" applyBorder="1" applyAlignment="1">
      <alignment horizontal="justify" vertical="center" wrapText="1"/>
    </xf>
    <xf numFmtId="0" fontId="20" fillId="0" borderId="38" xfId="1" applyFont="1" applyBorder="1" applyAlignment="1">
      <alignment horizontal="justify" vertical="center" wrapText="1"/>
    </xf>
    <xf numFmtId="0" fontId="20" fillId="0" borderId="8" xfId="1" applyFont="1" applyBorder="1" applyAlignment="1">
      <alignment horizontal="justify" vertical="center" wrapText="1"/>
    </xf>
    <xf numFmtId="0" fontId="20" fillId="0" borderId="30" xfId="1" applyFont="1" applyBorder="1" applyAlignment="1">
      <alignment horizontal="justify" vertical="center" wrapText="1"/>
    </xf>
    <xf numFmtId="164" fontId="12" fillId="0" borderId="49" xfId="1" applyNumberFormat="1" applyFont="1" applyBorder="1" applyAlignment="1">
      <alignment horizontal="justify" vertical="center" wrapText="1"/>
    </xf>
  </cellXfs>
  <cellStyles count="2">
    <cellStyle name="Normální" xfId="0" builtinId="0"/>
    <cellStyle name="Normální 3" xfId="1" xr:uid="{1BAB81DC-8B30-4714-81F4-8CAB47190FB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  <pageSetUpPr fitToPage="1"/>
  </sheetPr>
  <dimension ref="A1:Q48"/>
  <sheetViews>
    <sheetView showGridLines="0" tabSelected="1" zoomScale="130" zoomScaleNormal="130" zoomScaleSheet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7" sqref="E37"/>
    </sheetView>
  </sheetViews>
  <sheetFormatPr defaultRowHeight="12.75" x14ac:dyDescent="0.2"/>
  <cols>
    <col min="1" max="1" width="8.7109375" customWidth="1"/>
    <col min="2" max="13" width="12.7109375" customWidth="1"/>
    <col min="14" max="14" width="10.85546875" customWidth="1"/>
    <col min="15" max="15" width="9.7109375" customWidth="1"/>
    <col min="16" max="16" width="19" customWidth="1"/>
    <col min="17" max="18" width="9.7109375" customWidth="1"/>
    <col min="19" max="19" width="11" customWidth="1"/>
  </cols>
  <sheetData>
    <row r="1" spans="1:14" ht="20.25" x14ac:dyDescent="0.3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4" ht="20.25" x14ac:dyDescent="0.3">
      <c r="A2" s="152" t="s">
        <v>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4" ht="13.5" customHeight="1" thickBot="1" x14ac:dyDescent="0.25">
      <c r="B3" s="1"/>
      <c r="C3" s="2"/>
      <c r="D3" s="3"/>
      <c r="E3" s="3"/>
      <c r="F3" s="3"/>
      <c r="G3" s="4"/>
      <c r="H3" s="4"/>
      <c r="I3" s="4"/>
      <c r="J3" s="4"/>
      <c r="K3" s="5"/>
      <c r="L3" s="5"/>
      <c r="M3" s="46" t="s">
        <v>28</v>
      </c>
      <c r="N3" s="7"/>
    </row>
    <row r="4" spans="1:14" ht="14.45" customHeight="1" x14ac:dyDescent="0.2">
      <c r="A4" s="132" t="s">
        <v>0</v>
      </c>
      <c r="B4" s="143" t="s">
        <v>36</v>
      </c>
      <c r="C4" s="156"/>
      <c r="D4" s="157"/>
      <c r="E4" s="161" t="s">
        <v>29</v>
      </c>
      <c r="F4" s="156"/>
      <c r="G4" s="157"/>
      <c r="H4" s="143" t="s">
        <v>37</v>
      </c>
      <c r="I4" s="156"/>
      <c r="J4" s="157"/>
      <c r="K4" s="137" t="s">
        <v>35</v>
      </c>
      <c r="L4" s="156"/>
      <c r="M4" s="157"/>
      <c r="N4" s="7"/>
    </row>
    <row r="5" spans="1:14" ht="14.45" customHeight="1" thickBot="1" x14ac:dyDescent="0.25">
      <c r="A5" s="133"/>
      <c r="B5" s="158"/>
      <c r="C5" s="159"/>
      <c r="D5" s="160"/>
      <c r="E5" s="158"/>
      <c r="F5" s="159"/>
      <c r="G5" s="160"/>
      <c r="H5" s="158"/>
      <c r="I5" s="159"/>
      <c r="J5" s="160"/>
      <c r="K5" s="158"/>
      <c r="L5" s="159"/>
      <c r="M5" s="160"/>
      <c r="N5" s="5"/>
    </row>
    <row r="6" spans="1:14" ht="13.5" customHeight="1" x14ac:dyDescent="0.2">
      <c r="A6" s="133"/>
      <c r="B6" s="128" t="s">
        <v>1</v>
      </c>
      <c r="C6" s="126" t="s">
        <v>23</v>
      </c>
      <c r="D6" s="135" t="s">
        <v>24</v>
      </c>
      <c r="E6" s="128" t="s">
        <v>2</v>
      </c>
      <c r="F6" s="126" t="s">
        <v>23</v>
      </c>
      <c r="G6" s="135" t="s">
        <v>24</v>
      </c>
      <c r="H6" s="128" t="s">
        <v>3</v>
      </c>
      <c r="I6" s="126" t="s">
        <v>23</v>
      </c>
      <c r="J6" s="135" t="s">
        <v>24</v>
      </c>
      <c r="K6" s="128" t="s">
        <v>18</v>
      </c>
      <c r="L6" s="126" t="s">
        <v>23</v>
      </c>
      <c r="M6" s="135" t="s">
        <v>24</v>
      </c>
    </row>
    <row r="7" spans="1:14" ht="13.5" customHeight="1" thickBot="1" x14ac:dyDescent="0.25">
      <c r="A7" s="134"/>
      <c r="B7" s="129"/>
      <c r="C7" s="127"/>
      <c r="D7" s="136"/>
      <c r="E7" s="129"/>
      <c r="F7" s="127"/>
      <c r="G7" s="136"/>
      <c r="H7" s="129"/>
      <c r="I7" s="127"/>
      <c r="J7" s="136"/>
      <c r="K7" s="129"/>
      <c r="L7" s="127"/>
      <c r="M7" s="136"/>
    </row>
    <row r="8" spans="1:14" s="13" customFormat="1" ht="15.95" customHeight="1" x14ac:dyDescent="0.2">
      <c r="A8" s="107" t="s">
        <v>4</v>
      </c>
      <c r="B8" s="79">
        <f>62673677.42+96674518.91</f>
        <v>159348196.32999998</v>
      </c>
      <c r="C8" s="108">
        <f>C20/12</f>
        <v>143333833.33333334</v>
      </c>
      <c r="D8" s="78">
        <f>B8-C8</f>
        <v>16014362.99666664</v>
      </c>
      <c r="E8" s="109">
        <f>3988207.89+6378948.61</f>
        <v>10367156.5</v>
      </c>
      <c r="F8" s="108">
        <f>F20/12</f>
        <v>9110500</v>
      </c>
      <c r="G8" s="78">
        <f>E8-F8</f>
        <v>1256656.5</v>
      </c>
      <c r="H8" s="109">
        <f>5979889.25+1797726.66</f>
        <v>7777615.9100000001</v>
      </c>
      <c r="I8" s="108">
        <f>I20/12</f>
        <v>11478833.333333334</v>
      </c>
      <c r="J8" s="110">
        <f>H8-I8</f>
        <v>-3701217.4233333338</v>
      </c>
      <c r="K8" s="109">
        <f>25980579.63+8284756.7</f>
        <v>34265336.329999998</v>
      </c>
      <c r="L8" s="108">
        <f>L20/12</f>
        <v>24733416.666666668</v>
      </c>
      <c r="M8" s="110">
        <f>K8-L8</f>
        <v>9531919.6633333303</v>
      </c>
    </row>
    <row r="9" spans="1:14" s="13" customFormat="1" ht="15.95" customHeight="1" x14ac:dyDescent="0.2">
      <c r="A9" s="75" t="s">
        <v>5</v>
      </c>
      <c r="B9" s="76">
        <f>64719395.18+82943760.03</f>
        <v>147663155.21000001</v>
      </c>
      <c r="C9" s="77">
        <f>C8*2</f>
        <v>286667666.66666669</v>
      </c>
      <c r="D9" s="78">
        <f>SUM(B8+B9)-C9</f>
        <v>20343684.873333275</v>
      </c>
      <c r="E9" s="79">
        <f>4270429.24+5472941.45</f>
        <v>9743370.6900000013</v>
      </c>
      <c r="F9" s="77">
        <f>F8*2</f>
        <v>18221000</v>
      </c>
      <c r="G9" s="78">
        <f>SUM(E8+E9)-F9</f>
        <v>1889527.1900000013</v>
      </c>
      <c r="H9" s="79">
        <f>2771428.53+3190224.84</f>
        <v>5961653.3699999992</v>
      </c>
      <c r="I9" s="77">
        <f>I8*2</f>
        <v>22957666.666666668</v>
      </c>
      <c r="J9" s="78">
        <f>SUM(H8+H9)-I9</f>
        <v>-9218397.3866666686</v>
      </c>
      <c r="K9" s="76">
        <f>26991769.39+7898040.31</f>
        <v>34889809.700000003</v>
      </c>
      <c r="L9" s="77">
        <f>L8*2</f>
        <v>49466833.333333336</v>
      </c>
      <c r="M9" s="78">
        <f>SUM(K8+K9)-L9</f>
        <v>19688312.696666665</v>
      </c>
    </row>
    <row r="10" spans="1:14" s="13" customFormat="1" ht="15.95" customHeight="1" x14ac:dyDescent="0.2">
      <c r="A10" s="75" t="s">
        <v>6</v>
      </c>
      <c r="B10" s="76">
        <f>53923085.33+71690761.3</f>
        <v>125613846.63</v>
      </c>
      <c r="C10" s="77">
        <f>C8*3</f>
        <v>430001500</v>
      </c>
      <c r="D10" s="78">
        <f>SUM(B8+B9+B10)-C10</f>
        <v>2623698.1699999571</v>
      </c>
      <c r="E10" s="79">
        <f>3558048.11+4730426.2</f>
        <v>8288474.3100000005</v>
      </c>
      <c r="F10" s="123">
        <f>F8*3</f>
        <v>27331500</v>
      </c>
      <c r="G10" s="78">
        <f>SUM(E8+E9+E10)-F10</f>
        <v>1067501.5</v>
      </c>
      <c r="H10" s="79">
        <f>5352849.54+6545928.73</f>
        <v>11898778.27</v>
      </c>
      <c r="I10" s="123">
        <f>I8*3</f>
        <v>34436500</v>
      </c>
      <c r="J10" s="78">
        <f>SUM(H8+H9+H10)-I10</f>
        <v>-8798452.450000003</v>
      </c>
      <c r="K10" s="76">
        <f>21216309.43+8381783.33</f>
        <v>29598092.759999998</v>
      </c>
      <c r="L10" s="123">
        <f>L8*3</f>
        <v>74200250</v>
      </c>
      <c r="M10" s="78">
        <f>SUM(K8+K9+K10)-L10</f>
        <v>24552988.789999992</v>
      </c>
    </row>
    <row r="11" spans="1:14" s="13" customFormat="1" ht="15.95" customHeight="1" x14ac:dyDescent="0.2">
      <c r="A11" s="75" t="s">
        <v>7</v>
      </c>
      <c r="B11" s="76">
        <f>44725329.1+68288508.43</f>
        <v>113013837.53</v>
      </c>
      <c r="C11" s="77">
        <f>C8*4</f>
        <v>573335333.33333337</v>
      </c>
      <c r="D11" s="78">
        <f>SUM(B8+B9+B10+B11)-C11</f>
        <v>-27696297.633333445</v>
      </c>
      <c r="E11" s="79">
        <f>2951145.56+4505932.76</f>
        <v>7457078.3200000003</v>
      </c>
      <c r="F11" s="77">
        <f>F8*4</f>
        <v>36442000</v>
      </c>
      <c r="G11" s="78">
        <f>SUM(E8+E9+E10+E11)-F11</f>
        <v>-585920.1799999997</v>
      </c>
      <c r="H11" s="79">
        <v>0</v>
      </c>
      <c r="I11" s="77">
        <f>I8*4</f>
        <v>45915333.333333336</v>
      </c>
      <c r="J11" s="78">
        <f>SUM(H8+H9+H10+H11)-I11</f>
        <v>-20277285.783333339</v>
      </c>
      <c r="K11" s="76">
        <f>15460811.28+10388638.04</f>
        <v>25849449.32</v>
      </c>
      <c r="L11" s="77">
        <f>L8*4</f>
        <v>98933666.666666672</v>
      </c>
      <c r="M11" s="78">
        <f>SUM(K8+K9+K10+K11)-L11</f>
        <v>25669021.443333313</v>
      </c>
    </row>
    <row r="12" spans="1:14" s="13" customFormat="1" ht="15.95" customHeight="1" x14ac:dyDescent="0.2">
      <c r="A12" s="75" t="s">
        <v>8</v>
      </c>
      <c r="B12" s="76">
        <f>49699253.71+92490070.3</f>
        <v>142189324.00999999</v>
      </c>
      <c r="C12" s="77">
        <f>C8*5</f>
        <v>716669166.66666675</v>
      </c>
      <c r="D12" s="78">
        <f>SUM(B8+B9+B10+B11+B12)-C12</f>
        <v>-28840806.956666827</v>
      </c>
      <c r="E12" s="79">
        <f>3279343.79+6102842.91</f>
        <v>9382186.6999999993</v>
      </c>
      <c r="F12" s="77">
        <f>F8*5</f>
        <v>45552500</v>
      </c>
      <c r="G12" s="78">
        <f>SUM(E8+E9+E10+E11+E12)-F12</f>
        <v>-314233.48000000417</v>
      </c>
      <c r="H12" s="79">
        <v>0</v>
      </c>
      <c r="I12" s="77">
        <f>I8*5</f>
        <v>57394166.666666672</v>
      </c>
      <c r="J12" s="78">
        <f>SUM(H8+H9+H10+H11+H12)-I12</f>
        <v>-31756119.116666675</v>
      </c>
      <c r="K12" s="76">
        <f>21987593.26+9271113.94</f>
        <v>31258707.200000003</v>
      </c>
      <c r="L12" s="77">
        <f>L8*5</f>
        <v>123667083.33333334</v>
      </c>
      <c r="M12" s="78">
        <f>SUM(K8+K9+K10+K11+K12)-L12</f>
        <v>32194311.976666659</v>
      </c>
    </row>
    <row r="13" spans="1:14" s="13" customFormat="1" ht="15.95" customHeight="1" x14ac:dyDescent="0.2">
      <c r="A13" s="75" t="s">
        <v>9</v>
      </c>
      <c r="B13" s="76">
        <f>64310431.33+91568066.9</f>
        <v>155878498.23000002</v>
      </c>
      <c r="C13" s="77">
        <f>C8*6</f>
        <v>860003000</v>
      </c>
      <c r="D13" s="78">
        <f>SUM(B8+B9+B10+B11+B12+B13)-C13</f>
        <v>-16296142.060000062</v>
      </c>
      <c r="E13" s="79">
        <f>4243444.31+6042005.67</f>
        <v>10285449.98</v>
      </c>
      <c r="F13" s="77">
        <f>F8*6</f>
        <v>54663000</v>
      </c>
      <c r="G13" s="78">
        <f>SUM(E8+E9+E10+E11+E12+E13)-F13</f>
        <v>860716.5</v>
      </c>
      <c r="H13" s="79">
        <v>0</v>
      </c>
      <c r="I13" s="77">
        <f>I8*6</f>
        <v>68873000</v>
      </c>
      <c r="J13" s="78">
        <f>SUM(H8+H9+H10+H11+H12+H13)-I13</f>
        <v>-43234952.450000003</v>
      </c>
      <c r="K13" s="76">
        <f>24157713.14+9837711.03</f>
        <v>33995424.170000002</v>
      </c>
      <c r="L13" s="77">
        <f>L8*6</f>
        <v>148400500</v>
      </c>
      <c r="M13" s="78">
        <f>SUM(K8+K9+K10+K11+K12+K13)-L13</f>
        <v>41456319.480000019</v>
      </c>
    </row>
    <row r="14" spans="1:14" ht="15.95" customHeight="1" x14ac:dyDescent="0.2">
      <c r="A14" s="75" t="s">
        <v>10</v>
      </c>
      <c r="B14" s="76">
        <f>68425990.6+95613316.18</f>
        <v>164039306.78</v>
      </c>
      <c r="C14" s="77">
        <f>C8*7</f>
        <v>1003336833.3333334</v>
      </c>
      <c r="D14" s="78">
        <f>SUM(B8+B9+B10+B11+B12+B13+B14)-C14</f>
        <v>4409331.3866665363</v>
      </c>
      <c r="E14" s="79">
        <f>4515004.33+6308926.46</f>
        <v>10823930.789999999</v>
      </c>
      <c r="F14" s="77">
        <f>F8*7</f>
        <v>63773500</v>
      </c>
      <c r="G14" s="78">
        <f>SUM(E8+E9+E10+E11+E12+E13+E14)-F14</f>
        <v>2574147.2899999991</v>
      </c>
      <c r="H14" s="79">
        <f>18570881.08+20774323.73</f>
        <v>39345204.810000002</v>
      </c>
      <c r="I14" s="77">
        <f>I8*7</f>
        <v>80351833.333333343</v>
      </c>
      <c r="J14" s="78">
        <f>SUM(H8+H9+H10+H11+H12+H13+H14)-I14</f>
        <v>-15368580.973333344</v>
      </c>
      <c r="K14" s="76">
        <f>39584204.47+17067092.02</f>
        <v>56651296.489999995</v>
      </c>
      <c r="L14" s="77">
        <f>L8*7</f>
        <v>173133916.66666669</v>
      </c>
      <c r="M14" s="78">
        <f>SUM(K8+K9+K10+K11+K12+K13+K14)-L14</f>
        <v>73374199.303333342</v>
      </c>
    </row>
    <row r="15" spans="1:14" ht="15.95" customHeight="1" x14ac:dyDescent="0.2">
      <c r="A15" s="75" t="s">
        <v>11</v>
      </c>
      <c r="B15" s="76">
        <f>62612306.17+100115495.78</f>
        <v>162727801.94999999</v>
      </c>
      <c r="C15" s="77">
        <f>C8*8</f>
        <v>1146670666.6666667</v>
      </c>
      <c r="D15" s="78">
        <f>SUM(B8+B9+B10+B11+B12+B13+B14+B15)-C15</f>
        <v>23803300.003333092</v>
      </c>
      <c r="E15" s="79">
        <f>4131395.6+6605997.18</f>
        <v>10737392.779999999</v>
      </c>
      <c r="F15" s="77">
        <f>F8*8</f>
        <v>72884000</v>
      </c>
      <c r="G15" s="78">
        <f>SUM(E8+E9+E10+E11+E12+E13+E14+E15)-F15</f>
        <v>4201040.0699999928</v>
      </c>
      <c r="H15" s="79">
        <v>0</v>
      </c>
      <c r="I15" s="77">
        <f>I8*8</f>
        <v>91830666.666666672</v>
      </c>
      <c r="J15" s="78">
        <f>SUM(H8+H9+H10+H11+H12+H13+H14+H15)-I15</f>
        <v>-26847414.306666672</v>
      </c>
      <c r="K15" s="76">
        <f>27553494.55+11418222.87</f>
        <v>38971717.420000002</v>
      </c>
      <c r="L15" s="77">
        <f>L8*8</f>
        <v>197867333.33333334</v>
      </c>
      <c r="M15" s="78">
        <f>SUM(K8+K9+K10+K11+K12+K13+K14+K15)-L15</f>
        <v>87612500.056666702</v>
      </c>
    </row>
    <row r="16" spans="1:14" ht="15.95" customHeight="1" x14ac:dyDescent="0.2">
      <c r="A16" s="121" t="s">
        <v>12</v>
      </c>
      <c r="B16" s="83">
        <f>59316371.8+75385866.72</f>
        <v>134702238.51999998</v>
      </c>
      <c r="C16" s="118">
        <f>C8*9</f>
        <v>1290004500</v>
      </c>
      <c r="D16" s="106">
        <f>SUM(B8+B9+B10+B11+B12+B13+B14+B15+B16)-C16</f>
        <v>15171705.189999819</v>
      </c>
      <c r="E16" s="74">
        <f>3913917.43+5356181.08</f>
        <v>9270098.5099999998</v>
      </c>
      <c r="F16" s="118">
        <f>F8*9</f>
        <v>81994500</v>
      </c>
      <c r="G16" s="106">
        <f>SUM(E8+E9+E10+E11+E12+E13+E14+E15+E16)-F16</f>
        <v>4360638.5799999982</v>
      </c>
      <c r="H16" s="74">
        <f>420574.19+15868506.98</f>
        <v>16289081.17</v>
      </c>
      <c r="I16" s="118">
        <f>I8*9</f>
        <v>103309500</v>
      </c>
      <c r="J16" s="106">
        <f>SUM(H8+H9+H10+H11+H12+H13+H14+H15+H16)-I16</f>
        <v>-22037166.469999999</v>
      </c>
      <c r="K16" s="83">
        <f>22998883.53+18806250.22</f>
        <v>41805133.75</v>
      </c>
      <c r="L16" s="118">
        <f>L8*9</f>
        <v>222600750</v>
      </c>
      <c r="M16" s="106">
        <f>SUM(K8+K9+K10+K11+K12+K13+K14+K15+K16)-L16</f>
        <v>104684217.14000005</v>
      </c>
    </row>
    <row r="17" spans="1:17" s="13" customFormat="1" ht="15.95" customHeight="1" x14ac:dyDescent="0.2">
      <c r="A17" s="75" t="s">
        <v>13</v>
      </c>
      <c r="B17" s="76">
        <v>0</v>
      </c>
      <c r="C17" s="77">
        <f>C8*10</f>
        <v>1433338333.3333335</v>
      </c>
      <c r="D17" s="78">
        <f>SUM(B8+B9+B10+B11+B12+B13+B14+B15+B16+B17)-C17</f>
        <v>-128162128.14333367</v>
      </c>
      <c r="E17" s="79">
        <v>0</v>
      </c>
      <c r="F17" s="77">
        <f>F8*10</f>
        <v>91105000</v>
      </c>
      <c r="G17" s="78">
        <f>SUM(E8+E9+E10+E11+E12+E13+E14+E15+E16+E17)-F17</f>
        <v>-4749861.4200000018</v>
      </c>
      <c r="H17" s="79">
        <v>0</v>
      </c>
      <c r="I17" s="77">
        <f>I8*10</f>
        <v>114788333.33333334</v>
      </c>
      <c r="J17" s="78">
        <f>SUM(H8+H9+H10+H11+H12+H13+H14+H15+H16+H17)-I17</f>
        <v>-33515999.803333342</v>
      </c>
      <c r="K17" s="76">
        <v>0</v>
      </c>
      <c r="L17" s="77">
        <f>L8*10</f>
        <v>247334166.66666669</v>
      </c>
      <c r="M17" s="78">
        <f>SUM(K8+K9+K10+K11+K12+K13+K14+K15+K16+K17)-L17</f>
        <v>79950800.473333359</v>
      </c>
    </row>
    <row r="18" spans="1:17" ht="15.95" customHeight="1" x14ac:dyDescent="0.2">
      <c r="A18" s="75" t="s">
        <v>14</v>
      </c>
      <c r="B18" s="76">
        <v>0</v>
      </c>
      <c r="C18" s="77">
        <f>C8*11</f>
        <v>1576672166.6666667</v>
      </c>
      <c r="D18" s="78">
        <f>SUM(B8+B9+B10+B11+B12+B13+B14+B15+B16+B17+B18)-C18</f>
        <v>-271495961.47666693</v>
      </c>
      <c r="E18" s="79">
        <v>0</v>
      </c>
      <c r="F18" s="77">
        <f>F8*11</f>
        <v>100215500</v>
      </c>
      <c r="G18" s="78">
        <f>SUM(E8+E9+E10+E11+E12+E13+E14+E15+E16+E17+E18)-F18</f>
        <v>-13860361.420000002</v>
      </c>
      <c r="H18" s="79">
        <v>0</v>
      </c>
      <c r="I18" s="77">
        <f>I8*11</f>
        <v>126267166.66666667</v>
      </c>
      <c r="J18" s="78">
        <f>SUM(H8+H9+H10+H11+H12+H13+H14+H15+H16+H17+H18)-I18</f>
        <v>-44994833.13666667</v>
      </c>
      <c r="K18" s="76">
        <v>0</v>
      </c>
      <c r="L18" s="77">
        <f>L8*11</f>
        <v>272067583.33333337</v>
      </c>
      <c r="M18" s="78">
        <f>SUM(K8+K9+K10+K11+K12+K13+K14+K15+K16+K17+K18)-L18</f>
        <v>55217383.806666672</v>
      </c>
    </row>
    <row r="19" spans="1:17" ht="15.95" customHeight="1" thickBot="1" x14ac:dyDescent="0.25">
      <c r="A19" s="91" t="s">
        <v>15</v>
      </c>
      <c r="B19" s="92">
        <v>0</v>
      </c>
      <c r="C19" s="93">
        <f>C8*12</f>
        <v>1720006000</v>
      </c>
      <c r="D19" s="78">
        <f>SUM(B8+B9+B10+B11+B12+B13+B14+B15+B16+B17+B18+B19)-C19</f>
        <v>-414829794.81000018</v>
      </c>
      <c r="E19" s="94">
        <v>0</v>
      </c>
      <c r="F19" s="93">
        <f>F8*12</f>
        <v>109326000</v>
      </c>
      <c r="G19" s="78">
        <f>SUM(E8+E9+E10+E11+E12+E13+E14+E15+E16+E17+E18+E19)-F19</f>
        <v>-22970861.420000002</v>
      </c>
      <c r="H19" s="94">
        <v>0</v>
      </c>
      <c r="I19" s="93">
        <f>I8*12</f>
        <v>137746000</v>
      </c>
      <c r="J19" s="78">
        <f>SUM(H8+H9+H10+H11+H12+H13+H14+H15+H16+H17+H18+H19)-I19</f>
        <v>-56473666.469999999</v>
      </c>
      <c r="K19" s="95">
        <v>0</v>
      </c>
      <c r="L19" s="93">
        <f>L8*12</f>
        <v>296801000</v>
      </c>
      <c r="M19" s="78">
        <f>SUM(K8+K9+K10+K11+K12+K13+K14+K15+K16+K17+K18+K19)-L19</f>
        <v>30483967.140000045</v>
      </c>
    </row>
    <row r="20" spans="1:17" ht="15.95" customHeight="1" thickBot="1" x14ac:dyDescent="0.25">
      <c r="A20" s="28" t="s">
        <v>16</v>
      </c>
      <c r="B20" s="29">
        <f>SUM(B8:B19)</f>
        <v>1305176205.1899998</v>
      </c>
      <c r="C20" s="30">
        <v>1720006000</v>
      </c>
      <c r="D20" s="31"/>
      <c r="E20" s="29">
        <f>SUM(E8:E19)</f>
        <v>86355138.579999998</v>
      </c>
      <c r="F20" s="30">
        <v>109326000</v>
      </c>
      <c r="G20" s="32"/>
      <c r="H20" s="29">
        <f>SUM(H8:H19)</f>
        <v>81272333.530000001</v>
      </c>
      <c r="I20" s="30">
        <v>137746000</v>
      </c>
      <c r="J20" s="32"/>
      <c r="K20" s="29">
        <f>SUM(K8:K19)</f>
        <v>327284967.14000005</v>
      </c>
      <c r="L20" s="30">
        <v>296801000</v>
      </c>
      <c r="M20" s="33"/>
    </row>
    <row r="21" spans="1:17" ht="13.5" customHeight="1" x14ac:dyDescent="0.2">
      <c r="A21" s="5"/>
      <c r="B21" s="7"/>
      <c r="C21" s="7"/>
      <c r="D21" s="7"/>
      <c r="E21" s="7"/>
      <c r="F21" s="7"/>
      <c r="G21" s="7"/>
      <c r="H21" s="5"/>
      <c r="I21" s="7"/>
      <c r="J21" s="5"/>
      <c r="K21" s="5"/>
      <c r="L21" s="7"/>
      <c r="M21" s="5"/>
    </row>
    <row r="22" spans="1:17" ht="13.5" customHeight="1" x14ac:dyDescent="0.2">
      <c r="A22" s="5"/>
      <c r="B22" s="7"/>
      <c r="C22" s="20"/>
      <c r="D22" s="27"/>
      <c r="E22" s="26"/>
      <c r="F22" s="26"/>
      <c r="G22" s="7"/>
      <c r="H22" s="5"/>
      <c r="I22" s="7"/>
      <c r="J22" s="20"/>
      <c r="K22" s="5"/>
      <c r="L22" s="7"/>
      <c r="M22" s="5"/>
      <c r="P22" s="9"/>
      <c r="Q22" s="87"/>
    </row>
    <row r="23" spans="1:17" ht="13.5" thickBot="1" x14ac:dyDescent="0.25">
      <c r="A23" s="8"/>
      <c r="B23" s="7"/>
      <c r="C23" s="43"/>
      <c r="D23" s="7"/>
      <c r="E23" s="44"/>
      <c r="F23" s="26"/>
      <c r="G23" s="7"/>
      <c r="J23" s="45" t="s">
        <v>28</v>
      </c>
      <c r="Q23" s="87"/>
    </row>
    <row r="24" spans="1:17" ht="14.45" customHeight="1" x14ac:dyDescent="0.2">
      <c r="A24" s="132" t="s">
        <v>0</v>
      </c>
      <c r="B24" s="137" t="s">
        <v>34</v>
      </c>
      <c r="C24" s="138"/>
      <c r="D24" s="139"/>
      <c r="E24" s="143" t="s">
        <v>33</v>
      </c>
      <c r="F24" s="138"/>
      <c r="G24" s="139"/>
      <c r="H24" s="144" t="s">
        <v>17</v>
      </c>
      <c r="I24" s="138"/>
      <c r="J24" s="139"/>
      <c r="K24" s="42"/>
      <c r="Q24" s="87"/>
    </row>
    <row r="25" spans="1:17" ht="14.45" customHeight="1" thickBot="1" x14ac:dyDescent="0.25">
      <c r="A25" s="133"/>
      <c r="B25" s="140"/>
      <c r="C25" s="141"/>
      <c r="D25" s="142"/>
      <c r="E25" s="140"/>
      <c r="F25" s="141"/>
      <c r="G25" s="142"/>
      <c r="H25" s="140"/>
      <c r="I25" s="141"/>
      <c r="J25" s="142"/>
      <c r="K25" s="42"/>
      <c r="P25" s="12"/>
    </row>
    <row r="26" spans="1:17" ht="13.5" customHeight="1" x14ac:dyDescent="0.2">
      <c r="A26" s="133"/>
      <c r="B26" s="154" t="s">
        <v>19</v>
      </c>
      <c r="C26" s="126" t="s">
        <v>23</v>
      </c>
      <c r="D26" s="135" t="s">
        <v>24</v>
      </c>
      <c r="E26" s="154" t="s">
        <v>20</v>
      </c>
      <c r="F26" s="126" t="s">
        <v>23</v>
      </c>
      <c r="G26" s="135" t="s">
        <v>24</v>
      </c>
      <c r="H26" s="148" t="s">
        <v>16</v>
      </c>
      <c r="I26" s="126" t="s">
        <v>23</v>
      </c>
      <c r="J26" s="135" t="s">
        <v>24</v>
      </c>
      <c r="K26" s="145" t="s">
        <v>25</v>
      </c>
      <c r="P26" s="12"/>
    </row>
    <row r="27" spans="1:17" ht="13.5" customHeight="1" thickBot="1" x14ac:dyDescent="0.25">
      <c r="A27" s="134"/>
      <c r="B27" s="155"/>
      <c r="C27" s="127"/>
      <c r="D27" s="136"/>
      <c r="E27" s="155"/>
      <c r="F27" s="147"/>
      <c r="G27" s="136"/>
      <c r="H27" s="129"/>
      <c r="I27" s="127"/>
      <c r="J27" s="136"/>
      <c r="K27" s="146"/>
      <c r="P27" s="12"/>
    </row>
    <row r="28" spans="1:17" s="13" customFormat="1" ht="15.95" customHeight="1" x14ac:dyDescent="0.2">
      <c r="A28" s="111" t="s">
        <v>4</v>
      </c>
      <c r="B28" s="112">
        <f>41770675.95+6633434.22</f>
        <v>48404110.170000002</v>
      </c>
      <c r="C28" s="108">
        <f>C40/12</f>
        <v>222557000</v>
      </c>
      <c r="D28" s="110">
        <f>B28-C28</f>
        <v>-174152889.82999998</v>
      </c>
      <c r="E28" s="113">
        <f>430420100.05+31191610.51</f>
        <v>461611710.56</v>
      </c>
      <c r="F28" s="114">
        <f>F40/12</f>
        <v>448468833.33333331</v>
      </c>
      <c r="G28" s="115">
        <f>E28-F28</f>
        <v>13142877.226666689</v>
      </c>
      <c r="H28" s="89">
        <f t="shared" ref="H28:H40" si="0">$B8+$E8+$H8+$K8+$B28+$E28</f>
        <v>721774125.79999995</v>
      </c>
      <c r="I28" s="114">
        <f>I40/12</f>
        <v>859682416.66666663</v>
      </c>
      <c r="J28" s="116">
        <f>H28-I28</f>
        <v>-137908290.86666667</v>
      </c>
      <c r="K28" s="117">
        <f>J28/I40</f>
        <v>-1.3368143106593596E-2</v>
      </c>
    </row>
    <row r="29" spans="1:17" s="13" customFormat="1" ht="15.95" customHeight="1" x14ac:dyDescent="0.2">
      <c r="A29" s="80" t="s">
        <v>5</v>
      </c>
      <c r="B29" s="81">
        <f>8708506.07+12125254.82</f>
        <v>20833760.890000001</v>
      </c>
      <c r="C29" s="77">
        <f>C28*2</f>
        <v>445114000</v>
      </c>
      <c r="D29" s="78">
        <f>SUM(B28+B29)-C29</f>
        <v>-375876128.94</v>
      </c>
      <c r="E29" s="122">
        <f>496346430.57+23512052.37</f>
        <v>519858482.94</v>
      </c>
      <c r="F29" s="123">
        <f>F28*2</f>
        <v>896937666.66666663</v>
      </c>
      <c r="G29" s="78">
        <f>SUM(E28+E29)-F29</f>
        <v>84532526.833333373</v>
      </c>
      <c r="H29" s="74">
        <f t="shared" si="0"/>
        <v>738950232.79999995</v>
      </c>
      <c r="I29" s="123">
        <f>I28*2</f>
        <v>1719364833.3333333</v>
      </c>
      <c r="J29" s="78">
        <f>SUM(H28+H29)-I29</f>
        <v>-258640474.73333335</v>
      </c>
      <c r="K29" s="82">
        <f>J29/I40</f>
        <v>-2.5071319916040054E-2</v>
      </c>
    </row>
    <row r="30" spans="1:17" s="13" customFormat="1" ht="15.95" customHeight="1" x14ac:dyDescent="0.2">
      <c r="A30" s="80" t="s">
        <v>6</v>
      </c>
      <c r="B30" s="84">
        <f>14383104.57+459104031.42</f>
        <v>473487135.99000001</v>
      </c>
      <c r="C30" s="123">
        <f>C28*3</f>
        <v>667671000</v>
      </c>
      <c r="D30" s="78">
        <f>SUM(B28+B29+B30)-C30</f>
        <v>-124945992.95000005</v>
      </c>
      <c r="E30" s="122">
        <f>286804342.45+27540648.55</f>
        <v>314344991</v>
      </c>
      <c r="F30" s="123">
        <f>F28*3</f>
        <v>1345406500</v>
      </c>
      <c r="G30" s="78">
        <f>SUM(E28+E29+E30)-F30</f>
        <v>-49591315.5</v>
      </c>
      <c r="H30" s="83">
        <f t="shared" si="0"/>
        <v>963231318.96000004</v>
      </c>
      <c r="I30" s="123">
        <f>I28*3</f>
        <v>2579047250</v>
      </c>
      <c r="J30" s="78">
        <f>SUM(H28+H29+H30)-I30</f>
        <v>-155091572.44000006</v>
      </c>
      <c r="K30" s="82">
        <f>J30/I40</f>
        <v>-1.5033804871159307E-2</v>
      </c>
    </row>
    <row r="31" spans="1:17" s="13" customFormat="1" ht="15.95" customHeight="1" x14ac:dyDescent="0.2">
      <c r="A31" s="80" t="s">
        <v>7</v>
      </c>
      <c r="B31" s="81">
        <f>57120352.91+14835322.08</f>
        <v>71955674.989999995</v>
      </c>
      <c r="C31" s="77">
        <f>C28*4</f>
        <v>890228000</v>
      </c>
      <c r="D31" s="78">
        <f>SUM(B28+B29+B30+B31)-C31</f>
        <v>-275547317.96000004</v>
      </c>
      <c r="E31" s="85">
        <f>322681875.6+28434574.24</f>
        <v>351116449.84000003</v>
      </c>
      <c r="F31" s="77">
        <f>F28*4</f>
        <v>1793875333.3333333</v>
      </c>
      <c r="G31" s="78">
        <f>SUM(E28+E29+E30+E31)-F31</f>
        <v>-146943698.9933331</v>
      </c>
      <c r="H31" s="83">
        <f t="shared" si="0"/>
        <v>569392490</v>
      </c>
      <c r="I31" s="77">
        <f>I28*4</f>
        <v>3438729666.6666665</v>
      </c>
      <c r="J31" s="78">
        <f>SUM(H28+H29+H30+H31)-I31</f>
        <v>-445381499.10666656</v>
      </c>
      <c r="K31" s="82">
        <f>J31/I40</f>
        <v>-4.31730650831103E-2</v>
      </c>
    </row>
    <row r="32" spans="1:17" s="13" customFormat="1" ht="15.95" customHeight="1" x14ac:dyDescent="0.2">
      <c r="A32" s="80" t="s">
        <v>8</v>
      </c>
      <c r="B32" s="76">
        <f>32216965.31+28944843.55</f>
        <v>61161808.859999999</v>
      </c>
      <c r="C32" s="77">
        <f>C28*5</f>
        <v>1112785000</v>
      </c>
      <c r="D32" s="78">
        <f>SUM(B28+B29+B30+B31+B32)-C32</f>
        <v>-436942509.10000002</v>
      </c>
      <c r="E32" s="85">
        <f>453334524.37+24101979.82</f>
        <v>477436504.19</v>
      </c>
      <c r="F32" s="77">
        <f>F28*5</f>
        <v>2242344166.6666665</v>
      </c>
      <c r="G32" s="78">
        <f>SUM(E28+E29+E30+E31+E32)-F32</f>
        <v>-117976028.1366663</v>
      </c>
      <c r="H32" s="83">
        <f t="shared" si="0"/>
        <v>721428530.96000004</v>
      </c>
      <c r="I32" s="77">
        <f>I28*5</f>
        <v>4298412083.333333</v>
      </c>
      <c r="J32" s="78">
        <f>SUM(H28+H29+H30+H31+H32)-I32</f>
        <v>-583635384.81333303</v>
      </c>
      <c r="K32" s="82">
        <f>J32/I40</f>
        <v>-5.6574708432865377E-2</v>
      </c>
    </row>
    <row r="33" spans="1:13" s="13" customFormat="1" ht="15.95" customHeight="1" x14ac:dyDescent="0.2">
      <c r="A33" s="80" t="s">
        <v>9</v>
      </c>
      <c r="B33" s="84">
        <f>12360156.14+357185683.52</f>
        <v>369545839.65999997</v>
      </c>
      <c r="C33" s="77">
        <f>C28*6</f>
        <v>1335342000</v>
      </c>
      <c r="D33" s="78">
        <f>SUM(B28+B29+B30+B31+B32+B33)-C33</f>
        <v>-289953669.44000006</v>
      </c>
      <c r="E33" s="85">
        <f>386809740.63+22489289.44</f>
        <v>409299030.06999999</v>
      </c>
      <c r="F33" s="77">
        <f>F28*6</f>
        <v>2690813000</v>
      </c>
      <c r="G33" s="78">
        <f>SUM(E28+E29+E30+E31+E32+E33)-F33</f>
        <v>-157145831.39999962</v>
      </c>
      <c r="H33" s="83">
        <f>$B13+$E13+$H13+$K13+$B33+$E33</f>
        <v>979004242.1099999</v>
      </c>
      <c r="I33" s="77">
        <f>I28*6</f>
        <v>5158094500</v>
      </c>
      <c r="J33" s="78">
        <f>SUM(H28+H29+H30+H31+H32+H33)-I33</f>
        <v>-464313559.36999989</v>
      </c>
      <c r="K33" s="82">
        <f>J33/I40</f>
        <v>-4.5008244747163889E-2</v>
      </c>
    </row>
    <row r="34" spans="1:13" ht="15.95" customHeight="1" x14ac:dyDescent="0.2">
      <c r="A34" s="80" t="s">
        <v>10</v>
      </c>
      <c r="B34" s="81">
        <f>433569080.3+172688678.37</f>
        <v>606257758.67000008</v>
      </c>
      <c r="C34" s="77">
        <f>C28*7</f>
        <v>1557899000</v>
      </c>
      <c r="D34" s="78">
        <f>SUM(B28+B29+B30+B31+B32+B33+B34)-C34</f>
        <v>93747089.230000019</v>
      </c>
      <c r="E34" s="85">
        <f>392162141.61+35089235.71</f>
        <v>427251377.31999999</v>
      </c>
      <c r="F34" s="77">
        <f>F28*7</f>
        <v>3139281833.333333</v>
      </c>
      <c r="G34" s="78">
        <f>SUM(E28+E29+E30+E31+E32+E33+E34)-F34</f>
        <v>-178363287.41333246</v>
      </c>
      <c r="H34" s="83">
        <f t="shared" si="0"/>
        <v>1304368874.8600001</v>
      </c>
      <c r="I34" s="77">
        <f>I28*7</f>
        <v>6017776916.666666</v>
      </c>
      <c r="J34" s="78">
        <f>SUM(H28+H29+H30+H31+H32+H33+H34)-I34</f>
        <v>-19627101.17666626</v>
      </c>
      <c r="K34" s="82">
        <f>J34/I40</f>
        <v>-1.9025534697615816E-3</v>
      </c>
    </row>
    <row r="35" spans="1:13" ht="15.95" customHeight="1" x14ac:dyDescent="0.2">
      <c r="A35" s="80" t="s">
        <v>11</v>
      </c>
      <c r="B35" s="81">
        <v>0</v>
      </c>
      <c r="C35" s="77">
        <f>C28*8</f>
        <v>1780456000</v>
      </c>
      <c r="D35" s="78">
        <f>SUM(B28+B29+B30+B31+B32+B33+B34+B35)-C35</f>
        <v>-128809910.76999998</v>
      </c>
      <c r="E35" s="85">
        <f>471088453.55+27714961.65</f>
        <v>498803415.19999999</v>
      </c>
      <c r="F35" s="77">
        <f>F28*8</f>
        <v>3587750666.6666665</v>
      </c>
      <c r="G35" s="78">
        <f>SUM(E28+E29+E30+E31+E32+E33+E34+E35)-F35</f>
        <v>-128028705.54666615</v>
      </c>
      <c r="H35" s="83">
        <f t="shared" si="0"/>
        <v>711240327.3499999</v>
      </c>
      <c r="I35" s="77">
        <f>I28*8</f>
        <v>6877459333.333333</v>
      </c>
      <c r="J35" s="78">
        <f>SUM(H28+H29+H30+H31+H32+H33+H34+H35)-I35</f>
        <v>-168069190.49333286</v>
      </c>
      <c r="K35" s="82">
        <f>J35/I40</f>
        <v>-1.6291790553016511E-2</v>
      </c>
    </row>
    <row r="36" spans="1:13" ht="15.95" customHeight="1" x14ac:dyDescent="0.2">
      <c r="A36" s="120" t="s">
        <v>12</v>
      </c>
      <c r="B36" s="125">
        <f>230914580.38</f>
        <v>230914580.38</v>
      </c>
      <c r="C36" s="118">
        <f>C28*9</f>
        <v>2003013000</v>
      </c>
      <c r="D36" s="106">
        <f>SUM(B28+B29+B30+B31+B32+B33+B34+B35+B36)-C36</f>
        <v>-120452330.38999987</v>
      </c>
      <c r="E36" s="124">
        <f>361077242.57+2568582.34</f>
        <v>363645824.90999997</v>
      </c>
      <c r="F36" s="118">
        <f>F28*9</f>
        <v>4036219500</v>
      </c>
      <c r="G36" s="106">
        <f>SUM(E28+E29+E30+E31+E32+E33+E34+E35+E36)-F36</f>
        <v>-212851713.96999979</v>
      </c>
      <c r="H36" s="83">
        <f t="shared" si="0"/>
        <v>796626957.23999989</v>
      </c>
      <c r="I36" s="118">
        <f>I28*9</f>
        <v>7737141750</v>
      </c>
      <c r="J36" s="106">
        <f>SUM(H28+H29+H30+H31+H32+H33+H34+H35+H36)-I36</f>
        <v>-231124649.92000008</v>
      </c>
      <c r="K36" s="119">
        <f>J36/I40</f>
        <v>-2.2404072852872322E-2</v>
      </c>
    </row>
    <row r="37" spans="1:13" s="13" customFormat="1" ht="15.95" customHeight="1" x14ac:dyDescent="0.2">
      <c r="A37" s="80" t="s">
        <v>13</v>
      </c>
      <c r="B37" s="81">
        <v>0</v>
      </c>
      <c r="C37" s="77">
        <f>C28*10</f>
        <v>2225570000</v>
      </c>
      <c r="D37" s="78">
        <f>SUM(B28+B29+B30+B31+B32+B33+B34+B35+B36+B37)-C37</f>
        <v>-343009330.38999987</v>
      </c>
      <c r="E37" s="85">
        <v>0</v>
      </c>
      <c r="F37" s="77">
        <f>F28*10</f>
        <v>4484688333.333333</v>
      </c>
      <c r="G37" s="78">
        <f>SUM(E28+E29+E30+E31+E32+E33+E34+E35+E36+E37)-F37</f>
        <v>-661320547.30333281</v>
      </c>
      <c r="H37" s="83">
        <f t="shared" si="0"/>
        <v>0</v>
      </c>
      <c r="I37" s="77">
        <f>I28*10</f>
        <v>8596824166.666666</v>
      </c>
      <c r="J37" s="78">
        <f>SUM(H28+H29+H30+H31+H32+H33+H34+H35+H36+H37)-I37</f>
        <v>-1090807066.5866661</v>
      </c>
      <c r="K37" s="82">
        <f>J37/I40</f>
        <v>-0.1057374061862056</v>
      </c>
    </row>
    <row r="38" spans="1:13" ht="15.95" customHeight="1" x14ac:dyDescent="0.2">
      <c r="A38" s="80" t="s">
        <v>14</v>
      </c>
      <c r="B38" s="81">
        <v>0</v>
      </c>
      <c r="C38" s="77">
        <f>C28*11</f>
        <v>2448127000</v>
      </c>
      <c r="D38" s="78">
        <f>SUM(B28+B29+B30+B31+B32+B33+B34+B35+B36+B37+B38)-C38</f>
        <v>-565566330.38999987</v>
      </c>
      <c r="E38" s="85">
        <v>0</v>
      </c>
      <c r="F38" s="77">
        <f>F28*11</f>
        <v>4933157166.666666</v>
      </c>
      <c r="G38" s="78">
        <f>SUM(E28+E29+E30+E31+E32+E33+E34+E35+E36+E37+E38)-F38</f>
        <v>-1109789380.6366658</v>
      </c>
      <c r="H38" s="83">
        <f t="shared" si="0"/>
        <v>0</v>
      </c>
      <c r="I38" s="77">
        <f>I28*11</f>
        <v>9456506583.3333321</v>
      </c>
      <c r="J38" s="78">
        <f>SUM(H28+H29+H30+H31+H32+H33+H34+H35+H36+H37+H38)-I38</f>
        <v>-1950489483.2533321</v>
      </c>
      <c r="K38" s="82">
        <f>J38/I40</f>
        <v>-0.18907073951953887</v>
      </c>
    </row>
    <row r="39" spans="1:13" ht="15.95" customHeight="1" thickBot="1" x14ac:dyDescent="0.25">
      <c r="A39" s="96" t="s">
        <v>15</v>
      </c>
      <c r="B39" s="97">
        <v>0</v>
      </c>
      <c r="C39" s="93">
        <f>C28*12</f>
        <v>2670684000</v>
      </c>
      <c r="D39" s="98">
        <f>SUM(B28+B29+B30+B31+B32+B33+B34+B35+B36+B37+B38+B39)-C39</f>
        <v>-788123330.38999987</v>
      </c>
      <c r="E39" s="99">
        <v>0</v>
      </c>
      <c r="F39" s="93">
        <f>F28*12</f>
        <v>5381626000</v>
      </c>
      <c r="G39" s="78">
        <f>SUM(E28+E29+E30+E31+E32+E33+E34+E35+E36+E37+E38+E39)-F39</f>
        <v>-1558258213.9699998</v>
      </c>
      <c r="H39" s="86">
        <f t="shared" si="0"/>
        <v>0</v>
      </c>
      <c r="I39" s="100">
        <f>I28*12</f>
        <v>10316189000</v>
      </c>
      <c r="J39" s="101">
        <f>SUM(H28+H29+H30+H31+H32+H33+H34+H35+H36+H37+H38+H39)-I39</f>
        <v>-2810171899.9200001</v>
      </c>
      <c r="K39" s="82">
        <f>J39/I40</f>
        <v>-0.27240407285287233</v>
      </c>
    </row>
    <row r="40" spans="1:13" ht="15.95" customHeight="1" thickBot="1" x14ac:dyDescent="0.25">
      <c r="A40" s="28" t="s">
        <v>16</v>
      </c>
      <c r="B40" s="34">
        <f>SUM(B28:B39)</f>
        <v>1882560669.6100001</v>
      </c>
      <c r="C40" s="35">
        <v>2670684000</v>
      </c>
      <c r="D40" s="36"/>
      <c r="E40" s="29">
        <f>SUM(E28:E39)</f>
        <v>3823367786.0300002</v>
      </c>
      <c r="F40" s="30">
        <v>5381626000</v>
      </c>
      <c r="G40" s="37"/>
      <c r="H40" s="47">
        <f t="shared" si="0"/>
        <v>7506017100.0799999</v>
      </c>
      <c r="I40" s="38">
        <f>C20+F20+I20+L20+C40+F40</f>
        <v>10316189000</v>
      </c>
      <c r="J40" s="39"/>
      <c r="K40" s="48"/>
    </row>
    <row r="41" spans="1:13" x14ac:dyDescent="0.2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7"/>
      <c r="M41" s="7"/>
    </row>
    <row r="42" spans="1:13" x14ac:dyDescent="0.2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B43" s="105"/>
      <c r="I43" s="12"/>
      <c r="J43" s="21"/>
      <c r="K43" s="104"/>
      <c r="L43" s="23"/>
    </row>
    <row r="44" spans="1:13" x14ac:dyDescent="0.2">
      <c r="C44" s="105"/>
      <c r="I44" s="12"/>
      <c r="J44" s="21"/>
      <c r="K44" s="104"/>
    </row>
    <row r="45" spans="1:13" x14ac:dyDescent="0.2">
      <c r="C45" s="105"/>
      <c r="E45" s="22"/>
      <c r="I45" s="12"/>
      <c r="J45" s="21"/>
      <c r="K45" s="104"/>
    </row>
    <row r="46" spans="1:13" x14ac:dyDescent="0.2">
      <c r="C46" s="105"/>
      <c r="E46" s="22"/>
      <c r="K46" s="22"/>
    </row>
    <row r="47" spans="1:13" x14ac:dyDescent="0.2">
      <c r="C47" s="90"/>
      <c r="E47" s="22"/>
    </row>
    <row r="48" spans="1:13" x14ac:dyDescent="0.2">
      <c r="K48" s="21"/>
    </row>
  </sheetData>
  <mergeCells count="35">
    <mergeCell ref="A1:M1"/>
    <mergeCell ref="A2:M2"/>
    <mergeCell ref="E26:E27"/>
    <mergeCell ref="B4:D5"/>
    <mergeCell ref="A4:A7"/>
    <mergeCell ref="L6:L7"/>
    <mergeCell ref="D6:D7"/>
    <mergeCell ref="G6:G7"/>
    <mergeCell ref="J6:J7"/>
    <mergeCell ref="C26:C27"/>
    <mergeCell ref="B26:B27"/>
    <mergeCell ref="K6:K7"/>
    <mergeCell ref="E4:G5"/>
    <mergeCell ref="H4:J5"/>
    <mergeCell ref="K4:M5"/>
    <mergeCell ref="M6:M7"/>
    <mergeCell ref="A42:M42"/>
    <mergeCell ref="A24:A27"/>
    <mergeCell ref="D26:D27"/>
    <mergeCell ref="G26:G27"/>
    <mergeCell ref="J26:J27"/>
    <mergeCell ref="B24:D25"/>
    <mergeCell ref="E24:G25"/>
    <mergeCell ref="H24:J25"/>
    <mergeCell ref="K26:K27"/>
    <mergeCell ref="F26:F27"/>
    <mergeCell ref="I26:I27"/>
    <mergeCell ref="H26:H27"/>
    <mergeCell ref="A41:K41"/>
    <mergeCell ref="I6:I7"/>
    <mergeCell ref="B6:B7"/>
    <mergeCell ref="E6:E7"/>
    <mergeCell ref="H6:H7"/>
    <mergeCell ref="C6:C7"/>
    <mergeCell ref="F6:F7"/>
  </mergeCells>
  <phoneticPr fontId="0" type="noConversion"/>
  <printOptions horizontalCentered="1"/>
  <pageMargins left="0.31496062992125984" right="0.51181102362204722" top="0.51181102362204722" bottom="0.51181102362204722" header="0.31496062992125984" footer="0.31496062992125984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44"/>
  <sheetViews>
    <sheetView showGridLines="0" zoomScale="130" zoomScaleNormal="130" zoomScaleSheetLayoutView="130" workbookViewId="0">
      <pane xSplit="1" topLeftCell="B1" activePane="topRight" state="frozen"/>
      <selection activeCell="A4" sqref="A4"/>
      <selection pane="topRight" activeCell="A5" sqref="A5"/>
    </sheetView>
  </sheetViews>
  <sheetFormatPr defaultRowHeight="12.75" x14ac:dyDescent="0.2"/>
  <cols>
    <col min="1" max="1" width="7.7109375" customWidth="1"/>
    <col min="2" max="4" width="11.85546875" customWidth="1"/>
    <col min="5" max="5" width="12.28515625" style="12" customWidth="1"/>
    <col min="6" max="8" width="11.85546875" customWidth="1"/>
    <col min="9" max="9" width="12.28515625" style="12" customWidth="1"/>
    <col min="10" max="12" width="11.85546875" customWidth="1"/>
    <col min="13" max="13" width="12.28515625" style="12" customWidth="1"/>
    <col min="14" max="16" width="11.85546875" customWidth="1"/>
    <col min="17" max="17" width="11.85546875" style="12" customWidth="1"/>
    <col min="18" max="18" width="9.7109375" customWidth="1"/>
    <col min="19" max="19" width="12.42578125" customWidth="1"/>
    <col min="20" max="21" width="9.7109375" customWidth="1"/>
    <col min="22" max="22" width="11" customWidth="1"/>
  </cols>
  <sheetData>
    <row r="1" spans="1:19" ht="20.25" x14ac:dyDescent="0.3">
      <c r="A1" s="150" t="s">
        <v>38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9" ht="20.25" x14ac:dyDescent="0.3">
      <c r="A2" s="162" t="s">
        <v>21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9" ht="15.95" customHeight="1" x14ac:dyDescent="0.3">
      <c r="A3" s="103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9" ht="15.95" customHeight="1" x14ac:dyDescent="0.2">
      <c r="A4" s="163" t="s">
        <v>46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9" ht="15.95" customHeight="1" thickBot="1" x14ac:dyDescent="0.25">
      <c r="B5" s="1"/>
      <c r="C5" s="2"/>
      <c r="D5" s="2"/>
      <c r="E5" s="18"/>
      <c r="F5" s="3"/>
      <c r="G5" s="3"/>
      <c r="H5" s="5"/>
      <c r="I5" s="19"/>
      <c r="J5" s="4"/>
      <c r="K5" s="4"/>
      <c r="L5" s="5"/>
      <c r="M5" s="19"/>
      <c r="N5" s="5"/>
      <c r="O5" s="5"/>
      <c r="P5" s="6"/>
      <c r="Q5" s="73" t="s">
        <v>28</v>
      </c>
    </row>
    <row r="6" spans="1:19" ht="14.45" customHeight="1" x14ac:dyDescent="0.2">
      <c r="A6" s="173" t="s">
        <v>0</v>
      </c>
      <c r="B6" s="167" t="s">
        <v>39</v>
      </c>
      <c r="C6" s="168"/>
      <c r="D6" s="168"/>
      <c r="E6" s="169"/>
      <c r="F6" s="170" t="s">
        <v>30</v>
      </c>
      <c r="G6" s="171"/>
      <c r="H6" s="171"/>
      <c r="I6" s="172"/>
      <c r="J6" s="165" t="s">
        <v>40</v>
      </c>
      <c r="K6" s="156"/>
      <c r="L6" s="156"/>
      <c r="M6" s="157"/>
      <c r="N6" s="166" t="s">
        <v>41</v>
      </c>
      <c r="O6" s="156"/>
      <c r="P6" s="156"/>
      <c r="Q6" s="157"/>
    </row>
    <row r="7" spans="1:19" ht="14.45" customHeight="1" thickBot="1" x14ac:dyDescent="0.25">
      <c r="A7" s="174"/>
      <c r="B7" s="159"/>
      <c r="C7" s="159"/>
      <c r="D7" s="159"/>
      <c r="E7" s="160"/>
      <c r="F7" s="158"/>
      <c r="G7" s="159"/>
      <c r="H7" s="159"/>
      <c r="I7" s="160"/>
      <c r="J7" s="158"/>
      <c r="K7" s="159"/>
      <c r="L7" s="159"/>
      <c r="M7" s="160"/>
      <c r="N7" s="158"/>
      <c r="O7" s="159"/>
      <c r="P7" s="159"/>
      <c r="Q7" s="160"/>
    </row>
    <row r="8" spans="1:19" ht="13.5" customHeight="1" x14ac:dyDescent="0.2">
      <c r="A8" s="174"/>
      <c r="B8" s="14"/>
      <c r="C8" s="14"/>
      <c r="D8" s="17"/>
      <c r="E8" s="176" t="s">
        <v>44</v>
      </c>
      <c r="F8" s="14"/>
      <c r="G8" s="14"/>
      <c r="H8" s="17"/>
      <c r="I8" s="176" t="s">
        <v>44</v>
      </c>
      <c r="J8" s="14"/>
      <c r="K8" s="14"/>
      <c r="L8" s="17"/>
      <c r="M8" s="176" t="s">
        <v>44</v>
      </c>
      <c r="N8" s="14"/>
      <c r="O8" s="14"/>
      <c r="P8" s="17"/>
      <c r="Q8" s="176" t="s">
        <v>44</v>
      </c>
    </row>
    <row r="9" spans="1:19" ht="13.5" customHeight="1" thickBot="1" x14ac:dyDescent="0.25">
      <c r="A9" s="175"/>
      <c r="B9" s="16" t="s">
        <v>26</v>
      </c>
      <c r="C9" s="16" t="s">
        <v>27</v>
      </c>
      <c r="D9" s="15" t="s">
        <v>31</v>
      </c>
      <c r="E9" s="177"/>
      <c r="F9" s="16" t="s">
        <v>26</v>
      </c>
      <c r="G9" s="16" t="s">
        <v>27</v>
      </c>
      <c r="H9" s="15" t="s">
        <v>31</v>
      </c>
      <c r="I9" s="177"/>
      <c r="J9" s="16" t="s">
        <v>26</v>
      </c>
      <c r="K9" s="16" t="s">
        <v>27</v>
      </c>
      <c r="L9" s="15" t="s">
        <v>31</v>
      </c>
      <c r="M9" s="177"/>
      <c r="N9" s="16" t="s">
        <v>26</v>
      </c>
      <c r="O9" s="16" t="s">
        <v>27</v>
      </c>
      <c r="P9" s="15" t="s">
        <v>31</v>
      </c>
      <c r="Q9" s="177"/>
    </row>
    <row r="10" spans="1:19" ht="17.100000000000001" customHeight="1" x14ac:dyDescent="0.2">
      <c r="A10" s="57" t="s">
        <v>4</v>
      </c>
      <c r="B10" s="62">
        <v>199772286.56</v>
      </c>
      <c r="C10" s="62">
        <v>140979932.11000001</v>
      </c>
      <c r="D10" s="62">
        <v>149006822.40000001</v>
      </c>
      <c r="E10" s="52">
        <f>62673677.42+96674518.91</f>
        <v>159348196.32999998</v>
      </c>
      <c r="F10" s="67">
        <v>12899930.41</v>
      </c>
      <c r="G10" s="67">
        <v>8746900.7100000009</v>
      </c>
      <c r="H10" s="62">
        <v>9177828.5700000003</v>
      </c>
      <c r="I10" s="52">
        <f>3988207.89+6378948.61</f>
        <v>10367156.5</v>
      </c>
      <c r="J10" s="62">
        <v>4166693.01</v>
      </c>
      <c r="K10" s="62">
        <v>7376859.04</v>
      </c>
      <c r="L10" s="62">
        <v>8099954.6499999994</v>
      </c>
      <c r="M10" s="52">
        <f>5979889.25+1797726.66</f>
        <v>7777615.9100000001</v>
      </c>
      <c r="N10" s="62">
        <v>17357372.329999998</v>
      </c>
      <c r="O10" s="62">
        <v>20064782.27</v>
      </c>
      <c r="P10" s="62">
        <v>31706626</v>
      </c>
      <c r="Q10" s="52">
        <f>25980579.63+8284756.7</f>
        <v>34265336.329999998</v>
      </c>
      <c r="S10" s="12"/>
    </row>
    <row r="11" spans="1:19" ht="17.100000000000001" customHeight="1" x14ac:dyDescent="0.2">
      <c r="A11" s="58" t="s">
        <v>5</v>
      </c>
      <c r="B11" s="63">
        <v>120056607.46000001</v>
      </c>
      <c r="C11" s="63">
        <v>105073495.16</v>
      </c>
      <c r="D11" s="63">
        <v>142668775.87</v>
      </c>
      <c r="E11" s="71">
        <f>64719395.18+82943760.03</f>
        <v>147663155.21000001</v>
      </c>
      <c r="F11" s="63">
        <v>7505830.4900000002</v>
      </c>
      <c r="G11" s="63">
        <v>6519136.5500000007</v>
      </c>
      <c r="H11" s="63">
        <v>8787447.0399999991</v>
      </c>
      <c r="I11" s="71">
        <f>4270429.24+5472941.45</f>
        <v>9743370.6900000013</v>
      </c>
      <c r="J11" s="63">
        <v>4109856.08</v>
      </c>
      <c r="K11" s="63">
        <v>3585999.83</v>
      </c>
      <c r="L11" s="63">
        <v>5265718.1999999993</v>
      </c>
      <c r="M11" s="71">
        <f>2771428.53+3190224.84</f>
        <v>5961653.3699999992</v>
      </c>
      <c r="N11" s="63">
        <v>18777302.259999998</v>
      </c>
      <c r="O11" s="63">
        <v>23639919.380000003</v>
      </c>
      <c r="P11" s="63">
        <v>32712074.349999998</v>
      </c>
      <c r="Q11" s="71">
        <f>26991769.39+7898040.31</f>
        <v>34889809.700000003</v>
      </c>
    </row>
    <row r="12" spans="1:19" ht="17.100000000000001" customHeight="1" x14ac:dyDescent="0.2">
      <c r="A12" s="58" t="s">
        <v>6</v>
      </c>
      <c r="B12" s="63">
        <v>81467731.420000002</v>
      </c>
      <c r="C12" s="63">
        <v>78246838.700000003</v>
      </c>
      <c r="D12" s="63">
        <v>114427016.06</v>
      </c>
      <c r="E12" s="71">
        <f>53923085.33+71690761.3</f>
        <v>125613846.63</v>
      </c>
      <c r="F12" s="63">
        <v>5093288.88</v>
      </c>
      <c r="G12" s="63">
        <v>4854714.54</v>
      </c>
      <c r="H12" s="63">
        <v>7047942.5700000003</v>
      </c>
      <c r="I12" s="71">
        <f>3558048.11+4730426.2</f>
        <v>8288474.3100000005</v>
      </c>
      <c r="J12" s="63">
        <v>13080477.879999999</v>
      </c>
      <c r="K12" s="63">
        <v>13902009.93</v>
      </c>
      <c r="L12" s="63">
        <v>12602534.07</v>
      </c>
      <c r="M12" s="71">
        <f>5352849.54+6545928.73</f>
        <v>11898778.27</v>
      </c>
      <c r="N12" s="63">
        <v>13058543.49</v>
      </c>
      <c r="O12" s="63">
        <v>16175021.950000001</v>
      </c>
      <c r="P12" s="63">
        <v>25635325.850000001</v>
      </c>
      <c r="Q12" s="71">
        <f>21216309.43+8381783.33</f>
        <v>29598092.759999998</v>
      </c>
    </row>
    <row r="13" spans="1:19" ht="17.100000000000001" customHeight="1" x14ac:dyDescent="0.2">
      <c r="A13" s="58" t="s">
        <v>7</v>
      </c>
      <c r="B13" s="63">
        <v>24764866.880000003</v>
      </c>
      <c r="C13" s="63">
        <v>81268931.090000004</v>
      </c>
      <c r="D13" s="63">
        <v>99270690.580000013</v>
      </c>
      <c r="E13" s="71">
        <f>44725329.1+68288508.43</f>
        <v>113013837.53</v>
      </c>
      <c r="F13" s="63">
        <v>1548277.08</v>
      </c>
      <c r="G13" s="63">
        <v>5042215.99</v>
      </c>
      <c r="H13" s="63">
        <v>6114413.8600000003</v>
      </c>
      <c r="I13" s="71">
        <f>2951145.56+4505932.76</f>
        <v>7457078.3200000003</v>
      </c>
      <c r="J13" s="63">
        <v>0</v>
      </c>
      <c r="K13" s="63">
        <v>0</v>
      </c>
      <c r="L13" s="63">
        <v>0</v>
      </c>
      <c r="M13" s="71">
        <v>0</v>
      </c>
      <c r="N13" s="63">
        <v>15549369.440000001</v>
      </c>
      <c r="O13" s="63">
        <v>18910669.41</v>
      </c>
      <c r="P13" s="63">
        <v>27177984.280000001</v>
      </c>
      <c r="Q13" s="71">
        <f>15460811.28+10388638.04</f>
        <v>25849449.32</v>
      </c>
    </row>
    <row r="14" spans="1:19" ht="17.100000000000001" customHeight="1" x14ac:dyDescent="0.2">
      <c r="A14" s="58" t="s">
        <v>8</v>
      </c>
      <c r="B14" s="63">
        <v>58778892.370000005</v>
      </c>
      <c r="C14" s="63">
        <v>95091689.019999996</v>
      </c>
      <c r="D14" s="63">
        <v>125344857.15000001</v>
      </c>
      <c r="E14" s="71">
        <f>49699253.71+92490070.3</f>
        <v>142189324.00999999</v>
      </c>
      <c r="F14" s="63">
        <v>3674803.15</v>
      </c>
      <c r="G14" s="63">
        <v>5899829.4499999993</v>
      </c>
      <c r="H14" s="63">
        <v>7720408.9199999999</v>
      </c>
      <c r="I14" s="71">
        <f>3279343.79+6102842.91</f>
        <v>9382186.6999999993</v>
      </c>
      <c r="J14" s="63">
        <v>0</v>
      </c>
      <c r="K14" s="63">
        <v>0</v>
      </c>
      <c r="L14" s="63">
        <v>0</v>
      </c>
      <c r="M14" s="71">
        <v>0</v>
      </c>
      <c r="N14" s="63">
        <v>15704892.880000001</v>
      </c>
      <c r="O14" s="63">
        <v>21410489.079999998</v>
      </c>
      <c r="P14" s="63">
        <v>29394447.479999997</v>
      </c>
      <c r="Q14" s="71">
        <f>21987593.26+9271113.94</f>
        <v>31258707.200000003</v>
      </c>
    </row>
    <row r="15" spans="1:19" ht="17.100000000000001" customHeight="1" x14ac:dyDescent="0.2">
      <c r="A15" s="58" t="s">
        <v>9</v>
      </c>
      <c r="B15" s="63">
        <v>104183829.91999999</v>
      </c>
      <c r="C15" s="63">
        <v>128112946.40000001</v>
      </c>
      <c r="D15" s="63">
        <v>149842850.99000001</v>
      </c>
      <c r="E15" s="71">
        <f>64310431.33+91568066.9</f>
        <v>155878498.23000002</v>
      </c>
      <c r="F15" s="63">
        <v>6513478.8100000005</v>
      </c>
      <c r="G15" s="63">
        <v>7948586.75</v>
      </c>
      <c r="H15" s="63">
        <v>9229322.3300000001</v>
      </c>
      <c r="I15" s="71">
        <f>4243444.31+6042005.67</f>
        <v>10285449.98</v>
      </c>
      <c r="J15" s="63">
        <v>0</v>
      </c>
      <c r="K15" s="63">
        <v>0</v>
      </c>
      <c r="L15" s="63">
        <v>0</v>
      </c>
      <c r="M15" s="71">
        <v>0</v>
      </c>
      <c r="N15" s="63">
        <v>21698908.879999999</v>
      </c>
      <c r="O15" s="63">
        <v>23438643.289999999</v>
      </c>
      <c r="P15" s="63">
        <v>33839624.030000001</v>
      </c>
      <c r="Q15" s="71">
        <f>24157713.14+9837711.03</f>
        <v>33995424.170000002</v>
      </c>
    </row>
    <row r="16" spans="1:19" ht="17.100000000000001" customHeight="1" x14ac:dyDescent="0.2">
      <c r="A16" s="59" t="s">
        <v>10</v>
      </c>
      <c r="B16" s="63">
        <v>123514873.94</v>
      </c>
      <c r="C16" s="63">
        <v>133769365.87</v>
      </c>
      <c r="D16" s="63">
        <v>149715622.82999998</v>
      </c>
      <c r="E16" s="71">
        <f>68425990.6+95613316.18</f>
        <v>164039306.78</v>
      </c>
      <c r="F16" s="63">
        <v>7722038.1699999999</v>
      </c>
      <c r="G16" s="63">
        <v>8299531.2599999998</v>
      </c>
      <c r="H16" s="63">
        <v>9221485.9299999997</v>
      </c>
      <c r="I16" s="71">
        <f>4515004.33+6308926.46</f>
        <v>10823930.789999999</v>
      </c>
      <c r="J16" s="63">
        <v>11743751.530000001</v>
      </c>
      <c r="K16" s="63">
        <v>44271148.890000001</v>
      </c>
      <c r="L16" s="63">
        <v>42835906.990000002</v>
      </c>
      <c r="M16" s="71">
        <f>18570881.08+20774323.73</f>
        <v>39345204.810000002</v>
      </c>
      <c r="N16" s="63">
        <v>23528111.800000001</v>
      </c>
      <c r="O16" s="63">
        <v>30180584.66</v>
      </c>
      <c r="P16" s="63">
        <v>41336035.740000002</v>
      </c>
      <c r="Q16" s="71">
        <f>39584204.47+17067092.02</f>
        <v>56651296.489999995</v>
      </c>
    </row>
    <row r="17" spans="1:17" ht="17.100000000000001" customHeight="1" x14ac:dyDescent="0.2">
      <c r="A17" s="59" t="s">
        <v>11</v>
      </c>
      <c r="B17" s="63">
        <v>117374735.00999999</v>
      </c>
      <c r="C17" s="63">
        <v>121579045.33</v>
      </c>
      <c r="D17" s="63">
        <v>147754641.77000001</v>
      </c>
      <c r="E17" s="71">
        <f>62612306.17+100115495.78</f>
        <v>162727801.94999999</v>
      </c>
      <c r="F17" s="63">
        <v>7338162.2599999998</v>
      </c>
      <c r="G17" s="63">
        <v>7543200.0700000003</v>
      </c>
      <c r="H17" s="63">
        <v>9100702.5300000012</v>
      </c>
      <c r="I17" s="71">
        <f>4131395.6+6605997.18</f>
        <v>10737392.779999999</v>
      </c>
      <c r="J17" s="63">
        <v>0</v>
      </c>
      <c r="K17" s="63">
        <v>0</v>
      </c>
      <c r="L17" s="63">
        <v>0</v>
      </c>
      <c r="M17" s="71">
        <v>0</v>
      </c>
      <c r="N17" s="63">
        <v>20084625.649999999</v>
      </c>
      <c r="O17" s="63">
        <v>32148139.740000002</v>
      </c>
      <c r="P17" s="63">
        <v>39947724.549999997</v>
      </c>
      <c r="Q17" s="71">
        <f>27553494.55+11418222.87</f>
        <v>38971717.420000002</v>
      </c>
    </row>
    <row r="18" spans="1:17" ht="17.100000000000001" customHeight="1" x14ac:dyDescent="0.2">
      <c r="A18" s="58" t="s">
        <v>12</v>
      </c>
      <c r="B18" s="63">
        <v>115941248.59</v>
      </c>
      <c r="C18" s="63">
        <v>130533304.34</v>
      </c>
      <c r="D18" s="63">
        <v>117836542.19</v>
      </c>
      <c r="E18" s="71">
        <f>59316371.8+75385866.72</f>
        <v>134702238.51999998</v>
      </c>
      <c r="F18" s="63">
        <v>6831343.5500000007</v>
      </c>
      <c r="G18" s="63">
        <v>7666189.6500000004</v>
      </c>
      <c r="H18" s="63">
        <v>9578545.5099999998</v>
      </c>
      <c r="I18" s="71">
        <f>3913917.43+5356181.08</f>
        <v>9270098.5099999998</v>
      </c>
      <c r="J18" s="63">
        <v>15352783.66</v>
      </c>
      <c r="K18" s="63">
        <v>20787627.73</v>
      </c>
      <c r="L18" s="63">
        <v>20174749.620000001</v>
      </c>
      <c r="M18" s="71">
        <f>420574.19+15868506.98</f>
        <v>16289081.17</v>
      </c>
      <c r="N18" s="63">
        <v>26823685.18</v>
      </c>
      <c r="O18" s="63">
        <v>30509777.780000001</v>
      </c>
      <c r="P18" s="63">
        <v>45371842.519999996</v>
      </c>
      <c r="Q18" s="71">
        <f>22998883.53+18806250.22</f>
        <v>41805133.75</v>
      </c>
    </row>
    <row r="19" spans="1:17" ht="17.100000000000001" customHeight="1" x14ac:dyDescent="0.2">
      <c r="A19" s="59" t="s">
        <v>13</v>
      </c>
      <c r="B19" s="63">
        <v>123191068.21000001</v>
      </c>
      <c r="C19" s="63">
        <v>123271180.73</v>
      </c>
      <c r="D19" s="63">
        <v>131637792.44</v>
      </c>
      <c r="E19" s="71">
        <v>0</v>
      </c>
      <c r="F19" s="63">
        <v>7643215.7199999997</v>
      </c>
      <c r="G19" s="63">
        <v>7592684.2700000005</v>
      </c>
      <c r="H19" s="63">
        <v>8376704.5999999996</v>
      </c>
      <c r="I19" s="71">
        <v>0</v>
      </c>
      <c r="J19" s="63">
        <v>7086933.3799999999</v>
      </c>
      <c r="K19" s="63">
        <v>7495973.3799999999</v>
      </c>
      <c r="L19" s="63">
        <v>9573206.4299999997</v>
      </c>
      <c r="M19" s="71">
        <v>0</v>
      </c>
      <c r="N19" s="63">
        <v>21147482.490000002</v>
      </c>
      <c r="O19" s="63">
        <v>23780770.009999998</v>
      </c>
      <c r="P19" s="63">
        <v>32147659.890000001</v>
      </c>
      <c r="Q19" s="71">
        <v>0</v>
      </c>
    </row>
    <row r="20" spans="1:17" ht="17.100000000000001" customHeight="1" x14ac:dyDescent="0.2">
      <c r="A20" s="59" t="s">
        <v>14</v>
      </c>
      <c r="B20" s="63">
        <v>119585440.28999999</v>
      </c>
      <c r="C20" s="63">
        <v>132959688.38</v>
      </c>
      <c r="D20" s="63">
        <v>152380761.47999999</v>
      </c>
      <c r="E20" s="71">
        <v>0</v>
      </c>
      <c r="F20" s="63">
        <v>7419509.6799999997</v>
      </c>
      <c r="G20" s="63">
        <v>8189431.8499999996</v>
      </c>
      <c r="H20" s="63">
        <v>9696673.0099999998</v>
      </c>
      <c r="I20" s="71">
        <v>0</v>
      </c>
      <c r="J20" s="63">
        <v>5747141.8700000001</v>
      </c>
      <c r="K20" s="63">
        <v>5549521.3399999999</v>
      </c>
      <c r="L20" s="63">
        <v>8262671.6999999993</v>
      </c>
      <c r="M20" s="71">
        <v>0</v>
      </c>
      <c r="N20" s="63">
        <v>18179981.629999999</v>
      </c>
      <c r="O20" s="63">
        <v>26170461.479999997</v>
      </c>
      <c r="P20" s="63">
        <v>34690800.259999998</v>
      </c>
      <c r="Q20" s="71">
        <v>0</v>
      </c>
    </row>
    <row r="21" spans="1:17" ht="17.100000000000001" customHeight="1" thickBot="1" x14ac:dyDescent="0.25">
      <c r="A21" s="60" t="s">
        <v>15</v>
      </c>
      <c r="B21" s="64">
        <v>150284193.12</v>
      </c>
      <c r="C21" s="64">
        <v>161219302.20999998</v>
      </c>
      <c r="D21" s="64">
        <v>173363447.88</v>
      </c>
      <c r="E21" s="72">
        <v>0</v>
      </c>
      <c r="F21" s="68">
        <v>9324170.3999999985</v>
      </c>
      <c r="G21" s="64">
        <v>9930036.0199999996</v>
      </c>
      <c r="H21" s="64">
        <v>11031895.66</v>
      </c>
      <c r="I21" s="72">
        <v>0</v>
      </c>
      <c r="J21" s="64">
        <v>28058764.800000001</v>
      </c>
      <c r="K21" s="64">
        <v>30547210.600000001</v>
      </c>
      <c r="L21" s="64">
        <v>34330441.780000001</v>
      </c>
      <c r="M21" s="72">
        <v>0</v>
      </c>
      <c r="N21" s="64">
        <v>19816724.700000003</v>
      </c>
      <c r="O21" s="64">
        <v>30371676.059999999</v>
      </c>
      <c r="P21" s="64">
        <v>33375866.399999999</v>
      </c>
      <c r="Q21" s="72">
        <v>0</v>
      </c>
    </row>
    <row r="22" spans="1:17" ht="21" customHeight="1" thickBot="1" x14ac:dyDescent="0.25">
      <c r="A22" s="61" t="s">
        <v>16</v>
      </c>
      <c r="B22" s="65">
        <f t="shared" ref="B22" si="0">SUM(B10:B21)</f>
        <v>1338915773.77</v>
      </c>
      <c r="C22" s="66">
        <f>SUM(C10:C21)</f>
        <v>1432105719.3400002</v>
      </c>
      <c r="D22" s="70">
        <f>SUM(D10:D21)</f>
        <v>1653249821.6399999</v>
      </c>
      <c r="E22" s="56">
        <f>SUM(E10:E21)</f>
        <v>1305176205.1899998</v>
      </c>
      <c r="F22" s="66">
        <f t="shared" ref="F22" si="1">SUM(F10:F21)</f>
        <v>83514048.599999994</v>
      </c>
      <c r="G22" s="66">
        <f>SUM(G10:G21)</f>
        <v>88232457.109999985</v>
      </c>
      <c r="H22" s="70">
        <f t="shared" ref="H22" si="2">SUM(H10:H21)</f>
        <v>105083370.53</v>
      </c>
      <c r="I22" s="56">
        <f t="shared" ref="I22:L22" si="3">SUM(I10:I21)</f>
        <v>86355138.579999998</v>
      </c>
      <c r="J22" s="69">
        <f t="shared" si="3"/>
        <v>89346402.209999993</v>
      </c>
      <c r="K22" s="66">
        <f t="shared" si="3"/>
        <v>133516350.74000001</v>
      </c>
      <c r="L22" s="70">
        <f t="shared" si="3"/>
        <v>141145183.44</v>
      </c>
      <c r="M22" s="56">
        <f t="shared" ref="M22:Q22" si="4">SUM(M10:M21)</f>
        <v>81272333.530000001</v>
      </c>
      <c r="N22" s="66">
        <f t="shared" ref="N22:P22" si="5">SUM(N10:N21)</f>
        <v>231727000.73000002</v>
      </c>
      <c r="O22" s="66">
        <f t="shared" si="5"/>
        <v>296800935.10999995</v>
      </c>
      <c r="P22" s="70">
        <f t="shared" si="5"/>
        <v>407336011.3499999</v>
      </c>
      <c r="Q22" s="56">
        <f t="shared" si="4"/>
        <v>327284967.14000005</v>
      </c>
    </row>
    <row r="23" spans="1:17" ht="15.95" customHeight="1" x14ac:dyDescent="0.2">
      <c r="A23" s="5"/>
      <c r="B23" s="7"/>
      <c r="C23" s="7"/>
      <c r="D23" s="10"/>
      <c r="E23" s="20"/>
      <c r="F23" s="7"/>
      <c r="G23" s="7"/>
      <c r="H23" s="7"/>
      <c r="I23" s="10"/>
      <c r="J23" s="5"/>
      <c r="K23" s="7"/>
      <c r="L23" s="5"/>
      <c r="M23" s="20"/>
      <c r="N23" s="5"/>
      <c r="O23" s="7"/>
      <c r="P23" s="10"/>
    </row>
    <row r="24" spans="1:17" ht="15.95" customHeight="1" x14ac:dyDescent="0.2">
      <c r="A24" s="5"/>
      <c r="B24" s="7"/>
      <c r="C24" s="7"/>
      <c r="D24" s="10"/>
      <c r="E24" s="20"/>
      <c r="F24" s="7"/>
      <c r="G24" s="7"/>
      <c r="H24" s="7"/>
      <c r="I24" s="10"/>
      <c r="J24" s="5"/>
      <c r="K24" s="7"/>
      <c r="L24" s="5"/>
      <c r="M24" s="20"/>
      <c r="N24" s="5"/>
      <c r="O24" s="7"/>
      <c r="P24" s="10"/>
    </row>
    <row r="25" spans="1:17" ht="15.95" customHeight="1" x14ac:dyDescent="0.2">
      <c r="A25" s="5"/>
      <c r="B25" s="7"/>
      <c r="C25" s="7"/>
      <c r="D25" s="10"/>
      <c r="E25" s="20"/>
      <c r="F25" s="7"/>
      <c r="G25" s="7"/>
      <c r="H25" s="7"/>
      <c r="I25" s="10"/>
      <c r="J25" s="5"/>
      <c r="K25" s="7"/>
      <c r="L25" s="5"/>
      <c r="M25" s="20"/>
      <c r="N25" s="5"/>
      <c r="O25" s="7"/>
      <c r="P25" s="10"/>
    </row>
    <row r="26" spans="1:17" ht="15.95" customHeight="1" thickBot="1" x14ac:dyDescent="0.25">
      <c r="A26" s="8"/>
      <c r="B26" s="7"/>
      <c r="C26" s="9"/>
      <c r="D26" s="10"/>
      <c r="E26" s="10"/>
      <c r="F26" s="7"/>
      <c r="G26" s="7"/>
      <c r="H26" s="7"/>
      <c r="I26" s="10"/>
      <c r="M26" s="73" t="s">
        <v>28</v>
      </c>
      <c r="P26" s="11"/>
    </row>
    <row r="27" spans="1:17" ht="14.45" customHeight="1" x14ac:dyDescent="0.2">
      <c r="A27" s="173" t="s">
        <v>0</v>
      </c>
      <c r="B27" s="184" t="s">
        <v>42</v>
      </c>
      <c r="C27" s="156"/>
      <c r="D27" s="156"/>
      <c r="E27" s="157"/>
      <c r="F27" s="165" t="s">
        <v>43</v>
      </c>
      <c r="G27" s="156"/>
      <c r="H27" s="156"/>
      <c r="I27" s="157"/>
      <c r="J27" s="178" t="s">
        <v>22</v>
      </c>
      <c r="K27" s="179"/>
      <c r="L27" s="179"/>
      <c r="M27" s="180"/>
      <c r="Q27"/>
    </row>
    <row r="28" spans="1:17" ht="14.45" customHeight="1" thickBot="1" x14ac:dyDescent="0.25">
      <c r="A28" s="174"/>
      <c r="B28" s="159"/>
      <c r="C28" s="159"/>
      <c r="D28" s="159"/>
      <c r="E28" s="160"/>
      <c r="F28" s="158"/>
      <c r="G28" s="159"/>
      <c r="H28" s="159"/>
      <c r="I28" s="160"/>
      <c r="J28" s="181"/>
      <c r="K28" s="182"/>
      <c r="L28" s="182"/>
      <c r="M28" s="183"/>
      <c r="Q28"/>
    </row>
    <row r="29" spans="1:17" ht="13.5" customHeight="1" x14ac:dyDescent="0.2">
      <c r="A29" s="174"/>
      <c r="B29" s="14"/>
      <c r="C29" s="14"/>
      <c r="D29" s="17"/>
      <c r="E29" s="176" t="s">
        <v>44</v>
      </c>
      <c r="F29" s="14"/>
      <c r="G29" s="14"/>
      <c r="H29" s="17"/>
      <c r="I29" s="176" t="s">
        <v>44</v>
      </c>
      <c r="J29" s="24"/>
      <c r="K29" s="49"/>
      <c r="L29" s="49"/>
      <c r="M29" s="176" t="s">
        <v>44</v>
      </c>
      <c r="Q29"/>
    </row>
    <row r="30" spans="1:17" ht="13.5" customHeight="1" thickBot="1" x14ac:dyDescent="0.25">
      <c r="A30" s="175"/>
      <c r="B30" s="16" t="s">
        <v>26</v>
      </c>
      <c r="C30" s="16" t="s">
        <v>27</v>
      </c>
      <c r="D30" s="15" t="s">
        <v>31</v>
      </c>
      <c r="E30" s="177"/>
      <c r="F30" s="16" t="s">
        <v>26</v>
      </c>
      <c r="G30" s="16" t="s">
        <v>27</v>
      </c>
      <c r="H30" s="15" t="s">
        <v>31</v>
      </c>
      <c r="I30" s="177"/>
      <c r="J30" s="25" t="s">
        <v>26</v>
      </c>
      <c r="K30" s="25" t="s">
        <v>27</v>
      </c>
      <c r="L30" s="25" t="s">
        <v>31</v>
      </c>
      <c r="M30" s="177"/>
      <c r="Q30"/>
    </row>
    <row r="31" spans="1:17" ht="17.100000000000001" customHeight="1" x14ac:dyDescent="0.2">
      <c r="A31" s="57" t="s">
        <v>4</v>
      </c>
      <c r="B31" s="62">
        <v>81834799.829999998</v>
      </c>
      <c r="C31" s="62">
        <v>46010065.100000001</v>
      </c>
      <c r="D31" s="62">
        <v>60557922.520000003</v>
      </c>
      <c r="E31" s="52">
        <f>41770675.95+6633434.22</f>
        <v>48404110.170000002</v>
      </c>
      <c r="F31" s="62">
        <v>339298940.76999998</v>
      </c>
      <c r="G31" s="62">
        <v>400740891.81999999</v>
      </c>
      <c r="H31" s="62">
        <v>466700647.34999996</v>
      </c>
      <c r="I31" s="52">
        <f>430420100.05+31191610.51</f>
        <v>461611710.56</v>
      </c>
      <c r="J31" s="50">
        <f>B10+F10+J10+N10+B31+F31</f>
        <v>655330022.90999997</v>
      </c>
      <c r="K31" s="51">
        <f>C10+G10+K10+O10+C31+G31</f>
        <v>623919431.04999995</v>
      </c>
      <c r="L31" s="51">
        <f>D10+H10+L10+P10+D31+H31</f>
        <v>725249801.49000001</v>
      </c>
      <c r="M31" s="52">
        <f t="shared" ref="M31:M42" si="6">E10+I10+M10+Q10+E31+I31</f>
        <v>721774125.79999995</v>
      </c>
      <c r="O31" s="88"/>
      <c r="Q31"/>
    </row>
    <row r="32" spans="1:17" ht="17.100000000000001" customHeight="1" x14ac:dyDescent="0.2">
      <c r="A32" s="58" t="s">
        <v>5</v>
      </c>
      <c r="B32" s="63">
        <v>12199505.42</v>
      </c>
      <c r="C32" s="63">
        <v>16235712.719999999</v>
      </c>
      <c r="D32" s="63">
        <v>23188640.960000001</v>
      </c>
      <c r="E32" s="71">
        <f>8708506.07+12125254.82</f>
        <v>20833760.890000001</v>
      </c>
      <c r="F32" s="63">
        <v>443556322.52000004</v>
      </c>
      <c r="G32" s="63">
        <v>491911563.79999995</v>
      </c>
      <c r="H32" s="63">
        <v>518619536.76999998</v>
      </c>
      <c r="I32" s="71">
        <f>496346430.57+23512052.37</f>
        <v>519858482.94</v>
      </c>
      <c r="J32" s="40">
        <f t="shared" ref="J32:J42" si="7">B11+F11+J11+N11+B32+F32</f>
        <v>606205424.23000002</v>
      </c>
      <c r="K32" s="51">
        <f t="shared" ref="K32:K42" si="8">C11+G11+K11+O11+C32+G32</f>
        <v>646965827.43999994</v>
      </c>
      <c r="L32" s="51">
        <f>D11+H11+L11+P11+D32+H32</f>
        <v>731242193.18999994</v>
      </c>
      <c r="M32" s="52">
        <f t="shared" si="6"/>
        <v>738950232.79999995</v>
      </c>
      <c r="O32" s="88"/>
      <c r="Q32"/>
    </row>
    <row r="33" spans="1:17" ht="17.100000000000001" customHeight="1" x14ac:dyDescent="0.2">
      <c r="A33" s="58" t="s">
        <v>6</v>
      </c>
      <c r="B33" s="63">
        <v>314342749.03000003</v>
      </c>
      <c r="C33" s="63">
        <v>325749039.32999998</v>
      </c>
      <c r="D33" s="63">
        <v>408539839.23000002</v>
      </c>
      <c r="E33" s="71">
        <f>14383104.57+459104031.42</f>
        <v>473487135.99000001</v>
      </c>
      <c r="F33" s="63">
        <v>172465589.19</v>
      </c>
      <c r="G33" s="63">
        <v>226972169.84</v>
      </c>
      <c r="H33" s="63">
        <v>307173715.31999999</v>
      </c>
      <c r="I33" s="71">
        <f>286804342.45+27540648.55</f>
        <v>314344991</v>
      </c>
      <c r="J33" s="40">
        <f t="shared" si="7"/>
        <v>599508379.8900001</v>
      </c>
      <c r="K33" s="51">
        <f t="shared" si="8"/>
        <v>665899794.28999996</v>
      </c>
      <c r="L33" s="51">
        <f t="shared" ref="L33:L42" si="9">D12+H12+L12+P12+D33+H33</f>
        <v>875426373.0999999</v>
      </c>
      <c r="M33" s="52">
        <f t="shared" si="6"/>
        <v>963231318.96000004</v>
      </c>
      <c r="O33" s="88"/>
      <c r="Q33"/>
    </row>
    <row r="34" spans="1:17" ht="17.100000000000001" customHeight="1" x14ac:dyDescent="0.2">
      <c r="A34" s="58" t="s">
        <v>7</v>
      </c>
      <c r="B34" s="63">
        <v>86677429.63000001</v>
      </c>
      <c r="C34" s="63">
        <v>86353663.849999994</v>
      </c>
      <c r="D34" s="63">
        <v>94407435.609999999</v>
      </c>
      <c r="E34" s="71">
        <f>57120352.91+14835322.08</f>
        <v>71955674.989999995</v>
      </c>
      <c r="F34" s="63">
        <v>261685164.47</v>
      </c>
      <c r="G34" s="63">
        <v>350419050.11000001</v>
      </c>
      <c r="H34" s="63">
        <v>342134315.88</v>
      </c>
      <c r="I34" s="71">
        <f>322681875.6+28434574.24</f>
        <v>351116449.84000003</v>
      </c>
      <c r="J34" s="40">
        <f t="shared" si="7"/>
        <v>390225107.5</v>
      </c>
      <c r="K34" s="51">
        <f t="shared" si="8"/>
        <v>541994530.45000005</v>
      </c>
      <c r="L34" s="51">
        <f t="shared" si="9"/>
        <v>569104840.21000004</v>
      </c>
      <c r="M34" s="52">
        <f t="shared" si="6"/>
        <v>569392490</v>
      </c>
      <c r="O34" s="88"/>
      <c r="Q34"/>
    </row>
    <row r="35" spans="1:17" ht="17.100000000000001" customHeight="1" x14ac:dyDescent="0.2">
      <c r="A35" s="58" t="s">
        <v>8</v>
      </c>
      <c r="B35" s="63">
        <v>14648015.859999999</v>
      </c>
      <c r="C35" s="63">
        <v>44828663.789999999</v>
      </c>
      <c r="D35" s="63">
        <v>53120381.079999998</v>
      </c>
      <c r="E35" s="71">
        <f>32216965.31+28944843.55</f>
        <v>61161808.859999999</v>
      </c>
      <c r="F35" s="63">
        <v>434703525.30000001</v>
      </c>
      <c r="G35" s="63">
        <v>538314846.14999998</v>
      </c>
      <c r="H35" s="63">
        <v>566016826.93999994</v>
      </c>
      <c r="I35" s="71">
        <f>453334524.37+24101979.82</f>
        <v>477436504.19</v>
      </c>
      <c r="J35" s="40">
        <f t="shared" si="7"/>
        <v>527510129.56</v>
      </c>
      <c r="K35" s="51">
        <f t="shared" si="8"/>
        <v>705545517.49000001</v>
      </c>
      <c r="L35" s="51">
        <f t="shared" si="9"/>
        <v>781596921.56999993</v>
      </c>
      <c r="M35" s="52">
        <f t="shared" si="6"/>
        <v>721428530.96000004</v>
      </c>
      <c r="O35" s="88"/>
      <c r="Q35"/>
    </row>
    <row r="36" spans="1:17" ht="17.100000000000001" customHeight="1" x14ac:dyDescent="0.2">
      <c r="A36" s="58" t="s">
        <v>9</v>
      </c>
      <c r="B36" s="63">
        <v>363365952.23000002</v>
      </c>
      <c r="C36" s="63">
        <v>354087847.23000002</v>
      </c>
      <c r="D36" s="63">
        <v>426100665.89999998</v>
      </c>
      <c r="E36" s="71">
        <f>12360156.14+357185683.52</f>
        <v>369545839.65999997</v>
      </c>
      <c r="F36" s="63">
        <v>310635630.85000002</v>
      </c>
      <c r="G36" s="63">
        <v>352175365.78000003</v>
      </c>
      <c r="H36" s="63">
        <v>361203427.33000004</v>
      </c>
      <c r="I36" s="71">
        <f>386809740.63+22489289.44</f>
        <v>409299030.06999999</v>
      </c>
      <c r="J36" s="40">
        <f t="shared" si="7"/>
        <v>806397800.69000006</v>
      </c>
      <c r="K36" s="51">
        <f t="shared" si="8"/>
        <v>865763389.45000005</v>
      </c>
      <c r="L36" s="51">
        <f t="shared" si="9"/>
        <v>980215890.58000004</v>
      </c>
      <c r="M36" s="52">
        <f t="shared" si="6"/>
        <v>979004242.1099999</v>
      </c>
      <c r="O36" s="88"/>
      <c r="Q36"/>
    </row>
    <row r="37" spans="1:17" ht="17.100000000000001" customHeight="1" x14ac:dyDescent="0.2">
      <c r="A37" s="59" t="s">
        <v>10</v>
      </c>
      <c r="B37" s="63">
        <v>413459856.82999998</v>
      </c>
      <c r="C37" s="63">
        <v>549130259.65999997</v>
      </c>
      <c r="D37" s="63">
        <v>893783543.14999998</v>
      </c>
      <c r="E37" s="71">
        <f>433569080.3+172688678.37</f>
        <v>606257758.67000008</v>
      </c>
      <c r="F37" s="63">
        <v>374235468.61000001</v>
      </c>
      <c r="G37" s="63">
        <v>459375582.63</v>
      </c>
      <c r="H37" s="63">
        <v>460204035.65999997</v>
      </c>
      <c r="I37" s="71">
        <f>392162141.61+35089235.71</f>
        <v>427251377.31999999</v>
      </c>
      <c r="J37" s="40">
        <f t="shared" si="7"/>
        <v>954204100.88</v>
      </c>
      <c r="K37" s="51">
        <f t="shared" si="8"/>
        <v>1225026472.9699998</v>
      </c>
      <c r="L37" s="51">
        <f t="shared" si="9"/>
        <v>1597096630.2999997</v>
      </c>
      <c r="M37" s="52">
        <f t="shared" si="6"/>
        <v>1304368874.8600001</v>
      </c>
      <c r="O37" s="88"/>
      <c r="Q37"/>
    </row>
    <row r="38" spans="1:17" ht="17.100000000000001" customHeight="1" x14ac:dyDescent="0.2">
      <c r="A38" s="59" t="s">
        <v>11</v>
      </c>
      <c r="B38" s="63">
        <v>0</v>
      </c>
      <c r="C38" s="63">
        <v>0</v>
      </c>
      <c r="D38" s="63">
        <v>0</v>
      </c>
      <c r="E38" s="71">
        <v>0</v>
      </c>
      <c r="F38" s="63">
        <v>470903444.30000001</v>
      </c>
      <c r="G38" s="63">
        <v>516763487.87</v>
      </c>
      <c r="H38" s="63">
        <v>544575065.66999996</v>
      </c>
      <c r="I38" s="71">
        <f>471088453.55+27714961.65</f>
        <v>498803415.19999999</v>
      </c>
      <c r="J38" s="40">
        <f t="shared" si="7"/>
        <v>615700967.22000003</v>
      </c>
      <c r="K38" s="51">
        <f t="shared" si="8"/>
        <v>678033873.00999999</v>
      </c>
      <c r="L38" s="51">
        <f t="shared" si="9"/>
        <v>741378134.51999998</v>
      </c>
      <c r="M38" s="52">
        <f t="shared" si="6"/>
        <v>711240327.3499999</v>
      </c>
      <c r="Q38"/>
    </row>
    <row r="39" spans="1:17" ht="17.100000000000001" customHeight="1" x14ac:dyDescent="0.2">
      <c r="A39" s="58" t="s">
        <v>12</v>
      </c>
      <c r="B39" s="63">
        <v>263994552.93000001</v>
      </c>
      <c r="C39" s="63">
        <v>348363871.19999999</v>
      </c>
      <c r="D39" s="63">
        <v>351968612.04000002</v>
      </c>
      <c r="E39" s="71">
        <f>230914580.38</f>
        <v>230914580.38</v>
      </c>
      <c r="F39" s="63">
        <v>287100700.80000001</v>
      </c>
      <c r="G39" s="63">
        <v>334725348.94999999</v>
      </c>
      <c r="H39" s="63">
        <v>301801268.64999998</v>
      </c>
      <c r="I39" s="71">
        <f>361077242.57+2568582.34</f>
        <v>363645824.90999997</v>
      </c>
      <c r="J39" s="40">
        <f t="shared" si="7"/>
        <v>716044314.71000004</v>
      </c>
      <c r="K39" s="51">
        <f t="shared" si="8"/>
        <v>872586119.6500001</v>
      </c>
      <c r="L39" s="51">
        <f t="shared" si="9"/>
        <v>846731560.52999997</v>
      </c>
      <c r="M39" s="52">
        <f t="shared" si="6"/>
        <v>796626957.23999989</v>
      </c>
      <c r="Q39"/>
    </row>
    <row r="40" spans="1:17" ht="17.100000000000001" customHeight="1" x14ac:dyDescent="0.2">
      <c r="A40" s="59" t="s">
        <v>13</v>
      </c>
      <c r="B40" s="63">
        <v>60516881.009999998</v>
      </c>
      <c r="C40" s="63">
        <v>65873947.880000003</v>
      </c>
      <c r="D40" s="63">
        <v>92361393.890000001</v>
      </c>
      <c r="E40" s="71">
        <v>0</v>
      </c>
      <c r="F40" s="63">
        <v>345527238.18000001</v>
      </c>
      <c r="G40" s="63">
        <v>417596662.25</v>
      </c>
      <c r="H40" s="63">
        <v>382529016.94999999</v>
      </c>
      <c r="I40" s="71">
        <v>0</v>
      </c>
      <c r="J40" s="40">
        <f t="shared" si="7"/>
        <v>565112818.99000001</v>
      </c>
      <c r="K40" s="51">
        <f t="shared" si="8"/>
        <v>645611218.51999998</v>
      </c>
      <c r="L40" s="51">
        <f t="shared" si="9"/>
        <v>656625774.20000005</v>
      </c>
      <c r="M40" s="52">
        <f t="shared" si="6"/>
        <v>0</v>
      </c>
      <c r="Q40"/>
    </row>
    <row r="41" spans="1:17" ht="17.100000000000001" customHeight="1" x14ac:dyDescent="0.2">
      <c r="A41" s="59" t="s">
        <v>14</v>
      </c>
      <c r="B41" s="63">
        <v>9513833.5399999991</v>
      </c>
      <c r="C41" s="63">
        <v>6600879.3600000003</v>
      </c>
      <c r="D41" s="63">
        <v>79358060.210000008</v>
      </c>
      <c r="E41" s="71">
        <v>0</v>
      </c>
      <c r="F41" s="63">
        <v>494041773.40999997</v>
      </c>
      <c r="G41" s="63">
        <v>604857975.34000003</v>
      </c>
      <c r="H41" s="63">
        <v>535469886.17000002</v>
      </c>
      <c r="I41" s="71">
        <v>0</v>
      </c>
      <c r="J41" s="40">
        <f t="shared" si="7"/>
        <v>654487680.41999996</v>
      </c>
      <c r="K41" s="51">
        <f t="shared" si="8"/>
        <v>784327957.75</v>
      </c>
      <c r="L41" s="51">
        <f>D20+H20+L20+P20+D41+H41</f>
        <v>819858852.82999992</v>
      </c>
      <c r="M41" s="52">
        <f t="shared" si="6"/>
        <v>0</v>
      </c>
      <c r="Q41"/>
    </row>
    <row r="42" spans="1:17" ht="17.100000000000001" customHeight="1" thickBot="1" x14ac:dyDescent="0.25">
      <c r="A42" s="60" t="s">
        <v>15</v>
      </c>
      <c r="B42" s="64">
        <v>334478038.56</v>
      </c>
      <c r="C42" s="64">
        <v>400617189.49000001</v>
      </c>
      <c r="D42" s="64">
        <v>469787204.96999997</v>
      </c>
      <c r="E42" s="72">
        <v>0</v>
      </c>
      <c r="F42" s="64">
        <v>439155478.29000002</v>
      </c>
      <c r="G42" s="64">
        <v>404815568.54999995</v>
      </c>
      <c r="H42" s="64">
        <v>529980211.92000002</v>
      </c>
      <c r="I42" s="72">
        <v>0</v>
      </c>
      <c r="J42" s="41">
        <f t="shared" si="7"/>
        <v>981117369.87000012</v>
      </c>
      <c r="K42" s="51">
        <f t="shared" si="8"/>
        <v>1037500982.9299999</v>
      </c>
      <c r="L42" s="51">
        <f t="shared" si="9"/>
        <v>1251869068.6099999</v>
      </c>
      <c r="M42" s="53">
        <f t="shared" si="6"/>
        <v>0</v>
      </c>
      <c r="Q42"/>
    </row>
    <row r="43" spans="1:17" ht="21" customHeight="1" thickBot="1" x14ac:dyDescent="0.25">
      <c r="A43" s="61" t="s">
        <v>16</v>
      </c>
      <c r="B43" s="66">
        <f t="shared" ref="B43:D43" si="10">SUM(B31:B42)</f>
        <v>1955031614.8699999</v>
      </c>
      <c r="C43" s="66">
        <f t="shared" si="10"/>
        <v>2243851139.6099997</v>
      </c>
      <c r="D43" s="70">
        <f t="shared" si="10"/>
        <v>2953173699.5599999</v>
      </c>
      <c r="E43" s="56">
        <f t="shared" ref="E43:I43" si="11">SUM(E31:E42)</f>
        <v>1882560669.6100001</v>
      </c>
      <c r="F43" s="69">
        <f t="shared" ref="F43:H43" si="12">SUM(F31:F42)</f>
        <v>4373309276.6900005</v>
      </c>
      <c r="G43" s="66">
        <f t="shared" si="12"/>
        <v>5098668513.0900002</v>
      </c>
      <c r="H43" s="70">
        <f t="shared" si="12"/>
        <v>5316407954.6099997</v>
      </c>
      <c r="I43" s="56">
        <f t="shared" si="11"/>
        <v>3823367786.0300002</v>
      </c>
      <c r="J43" s="54">
        <f t="shared" ref="J43:L43" si="13">SUM(J31:J42)</f>
        <v>8071844116.8699999</v>
      </c>
      <c r="K43" s="55">
        <f t="shared" si="13"/>
        <v>9293175115</v>
      </c>
      <c r="L43" s="55">
        <f t="shared" si="13"/>
        <v>10576396041.129999</v>
      </c>
      <c r="M43" s="56">
        <f>E22+I22+M22+Q22+E43+I43</f>
        <v>7506017100.0799999</v>
      </c>
      <c r="Q43"/>
    </row>
    <row r="44" spans="1:17" x14ac:dyDescent="0.2">
      <c r="A44" s="8"/>
      <c r="B44" s="7"/>
      <c r="C44" s="7"/>
      <c r="D44" s="7"/>
      <c r="E44" s="10"/>
      <c r="F44" s="7"/>
      <c r="G44" s="7"/>
      <c r="H44" s="7"/>
      <c r="I44" s="10"/>
      <c r="J44" s="5"/>
      <c r="K44" s="7"/>
      <c r="L44" s="7"/>
      <c r="M44" s="10"/>
      <c r="N44" s="7"/>
      <c r="O44" s="7"/>
      <c r="P44" s="7"/>
    </row>
  </sheetData>
  <mergeCells count="19">
    <mergeCell ref="M29:M30"/>
    <mergeCell ref="I29:I30"/>
    <mergeCell ref="E29:E30"/>
    <mergeCell ref="J27:M28"/>
    <mergeCell ref="A27:A30"/>
    <mergeCell ref="B27:E28"/>
    <mergeCell ref="F27:I28"/>
    <mergeCell ref="A1:Q1"/>
    <mergeCell ref="A2:Q2"/>
    <mergeCell ref="A4:Q4"/>
    <mergeCell ref="J6:M7"/>
    <mergeCell ref="N6:Q7"/>
    <mergeCell ref="B6:E7"/>
    <mergeCell ref="F6:I7"/>
    <mergeCell ref="A6:A9"/>
    <mergeCell ref="Q8:Q9"/>
    <mergeCell ref="M8:M9"/>
    <mergeCell ref="I8:I9"/>
    <mergeCell ref="E8:E9"/>
  </mergeCells>
  <phoneticPr fontId="0" type="noConversion"/>
  <printOptions horizontalCentered="1"/>
  <pageMargins left="0.51181102362204722" right="0.51181102362204722" top="0.51181102362204722" bottom="0.51181102362204722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Daně SMO 2024</vt:lpstr>
      <vt:lpstr>Srovnání daní 2021–24</vt:lpstr>
      <vt:lpstr>'Daně SMO 2024'!Oblast_tisku</vt:lpstr>
    </vt:vector>
  </TitlesOfParts>
  <Company>Magistrát města Ostravy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Daně SMO 2013</dc:title>
  <dc:creator>Ing. David Wegiel</dc:creator>
  <cp:lastModifiedBy>Wegiel David</cp:lastModifiedBy>
  <cp:lastPrinted>2024-09-20T08:52:23Z</cp:lastPrinted>
  <dcterms:created xsi:type="dcterms:W3CDTF">1997-01-24T11:07:25Z</dcterms:created>
  <dcterms:modified xsi:type="dcterms:W3CDTF">2024-09-20T10:57:16Z</dcterms:modified>
</cp:coreProperties>
</file>