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0" windowWidth="11355" windowHeight="6060"/>
  </bookViews>
  <sheets>
    <sheet name="do zprávy" sheetId="7" r:id="rId1"/>
  </sheets>
  <calcPr calcId="145621"/>
</workbook>
</file>

<file path=xl/calcChain.xml><?xml version="1.0" encoding="utf-8"?>
<calcChain xmlns="http://schemas.openxmlformats.org/spreadsheetml/2006/main">
  <c r="F62" i="7" l="1"/>
  <c r="F59" i="7"/>
  <c r="F56" i="7"/>
  <c r="F53" i="7"/>
  <c r="F50" i="7"/>
  <c r="F47" i="7"/>
  <c r="F45" i="7"/>
  <c r="F42" i="7"/>
  <c r="F40" i="7"/>
  <c r="F38" i="7"/>
  <c r="F35" i="7"/>
  <c r="F33" i="7"/>
  <c r="F30" i="7"/>
  <c r="F28" i="7"/>
  <c r="F26" i="7"/>
  <c r="F24" i="7"/>
  <c r="F21" i="7"/>
  <c r="F19" i="7"/>
  <c r="F17" i="7"/>
  <c r="F15" i="7"/>
  <c r="F12" i="7"/>
  <c r="F9" i="7"/>
  <c r="F63" i="7" s="1"/>
  <c r="F218" i="7" l="1"/>
  <c r="E218" i="7"/>
  <c r="F214" i="7"/>
  <c r="F212" i="7"/>
  <c r="E212" i="7"/>
  <c r="D210" i="7"/>
  <c r="D215" i="7" s="1"/>
  <c r="F208" i="7"/>
  <c r="F210" i="7" s="1"/>
  <c r="E208" i="7"/>
  <c r="E210" i="7" s="1"/>
  <c r="E215" i="7" s="1"/>
  <c r="F205" i="7"/>
  <c r="E205" i="7"/>
  <c r="E206" i="7" s="1"/>
  <c r="F204" i="7"/>
  <c r="F206" i="7" s="1"/>
  <c r="F202" i="7"/>
  <c r="F203" i="7" s="1"/>
  <c r="E202" i="7"/>
  <c r="E203" i="7" s="1"/>
  <c r="E200" i="7"/>
  <c r="F198" i="7"/>
  <c r="F200" i="7" s="1"/>
  <c r="F197" i="7"/>
  <c r="F195" i="7"/>
  <c r="E195" i="7"/>
  <c r="E193" i="7"/>
  <c r="F191" i="7"/>
  <c r="F193" i="7" s="1"/>
  <c r="F186" i="7"/>
  <c r="F189" i="7" s="1"/>
  <c r="E186" i="7"/>
  <c r="E189" i="7" s="1"/>
  <c r="F185" i="7"/>
  <c r="E185" i="7"/>
  <c r="E190" i="7" s="1"/>
  <c r="E179" i="7"/>
  <c r="E180" i="7" s="1"/>
  <c r="F176" i="7"/>
  <c r="F177" i="7" s="1"/>
  <c r="E175" i="7"/>
  <c r="E173" i="7"/>
  <c r="F171" i="7"/>
  <c r="F169" i="7"/>
  <c r="E168" i="7"/>
  <c r="E169" i="7" s="1"/>
  <c r="F166" i="7"/>
  <c r="F172" i="7" s="1"/>
  <c r="E165" i="7"/>
  <c r="E166" i="7" s="1"/>
  <c r="F162" i="7"/>
  <c r="F158" i="7"/>
  <c r="F160" i="7" s="1"/>
  <c r="E158" i="7"/>
  <c r="E160" i="7" s="1"/>
  <c r="E163" i="7" s="1"/>
  <c r="F156" i="7"/>
  <c r="E155" i="7"/>
  <c r="E156" i="7" s="1"/>
  <c r="E153" i="7"/>
  <c r="E154" i="7" s="1"/>
  <c r="F152" i="7"/>
  <c r="F151" i="7"/>
  <c r="F149" i="7"/>
  <c r="E149" i="7"/>
  <c r="D147" i="7"/>
  <c r="D150" i="7" s="1"/>
  <c r="F146" i="7"/>
  <c r="E146" i="7"/>
  <c r="F145" i="7"/>
  <c r="F147" i="7" s="1"/>
  <c r="E145" i="7"/>
  <c r="E147" i="7" s="1"/>
  <c r="F143" i="7"/>
  <c r="E142" i="7"/>
  <c r="E141" i="7"/>
  <c r="F138" i="7"/>
  <c r="E138" i="7"/>
  <c r="F137" i="7"/>
  <c r="E137" i="7"/>
  <c r="E140" i="7" s="1"/>
  <c r="E135" i="7"/>
  <c r="F134" i="7"/>
  <c r="F135" i="7" s="1"/>
  <c r="E133" i="7"/>
  <c r="F131" i="7"/>
  <c r="F133" i="7" s="1"/>
  <c r="D130" i="7"/>
  <c r="E129" i="7"/>
  <c r="F128" i="7"/>
  <c r="F129" i="7" s="1"/>
  <c r="F125" i="7"/>
  <c r="F127" i="7" s="1"/>
  <c r="E124" i="7"/>
  <c r="E127" i="7" s="1"/>
  <c r="E130" i="7" s="1"/>
  <c r="F122" i="7"/>
  <c r="E122" i="7"/>
  <c r="E120" i="7"/>
  <c r="F119" i="7"/>
  <c r="F120" i="7" s="1"/>
  <c r="E117" i="7"/>
  <c r="F116" i="7"/>
  <c r="F115" i="7"/>
  <c r="F114" i="7"/>
  <c r="F117" i="7" s="1"/>
  <c r="F118" i="7" s="1"/>
  <c r="F112" i="7"/>
  <c r="F113" i="7" s="1"/>
  <c r="E108" i="7"/>
  <c r="E113" i="7" s="1"/>
  <c r="E118" i="7" s="1"/>
  <c r="F104" i="7"/>
  <c r="E104" i="7"/>
  <c r="E105" i="7" s="1"/>
  <c r="F103" i="7"/>
  <c r="E101" i="7"/>
  <c r="E103" i="7" s="1"/>
  <c r="F100" i="7"/>
  <c r="F96" i="7"/>
  <c r="F98" i="7" s="1"/>
  <c r="E96" i="7"/>
  <c r="E98" i="7" s="1"/>
  <c r="F94" i="7"/>
  <c r="E92" i="7"/>
  <c r="E91" i="7"/>
  <c r="E94" i="7" s="1"/>
  <c r="F89" i="7"/>
  <c r="F88" i="7"/>
  <c r="F87" i="7"/>
  <c r="E86" i="7"/>
  <c r="F85" i="7"/>
  <c r="E85" i="7"/>
  <c r="D84" i="7"/>
  <c r="F82" i="7"/>
  <c r="F81" i="7"/>
  <c r="F80" i="7"/>
  <c r="E79" i="7"/>
  <c r="E83" i="7" s="1"/>
  <c r="F77" i="7"/>
  <c r="F78" i="7" s="1"/>
  <c r="E77" i="7"/>
  <c r="E78" i="7" s="1"/>
  <c r="E75" i="7"/>
  <c r="E76" i="7" s="1"/>
  <c r="F74" i="7"/>
  <c r="F73" i="7"/>
  <c r="F72" i="7"/>
  <c r="D62" i="7"/>
  <c r="E62" i="7"/>
  <c r="D59" i="7"/>
  <c r="D56" i="7"/>
  <c r="E56" i="7"/>
  <c r="D53" i="7"/>
  <c r="E53" i="7"/>
  <c r="D50" i="7"/>
  <c r="D45" i="7"/>
  <c r="E45" i="7"/>
  <c r="E40" i="7"/>
  <c r="E35" i="7"/>
  <c r="E32" i="7"/>
  <c r="E33" i="7"/>
  <c r="E30" i="7"/>
  <c r="D24" i="7"/>
  <c r="E24" i="7"/>
  <c r="D15" i="7"/>
  <c r="E15" i="7"/>
  <c r="D12" i="7"/>
  <c r="E12" i="7"/>
  <c r="E9" i="7"/>
  <c r="E63" i="7" s="1"/>
  <c r="D9" i="7"/>
  <c r="F76" i="7" l="1"/>
  <c r="F83" i="7"/>
  <c r="F130" i="7"/>
  <c r="F140" i="7"/>
  <c r="F144" i="7" s="1"/>
  <c r="E90" i="7"/>
  <c r="E95" i="7" s="1"/>
  <c r="E172" i="7"/>
  <c r="D63" i="7"/>
  <c r="E143" i="7"/>
  <c r="E144" i="7" s="1"/>
  <c r="F150" i="7"/>
  <c r="F154" i="7"/>
  <c r="F157" i="7" s="1"/>
  <c r="E201" i="7"/>
  <c r="F215" i="7"/>
  <c r="F90" i="7"/>
  <c r="F95" i="7" s="1"/>
  <c r="E123" i="7"/>
  <c r="F163" i="7"/>
  <c r="E176" i="7"/>
  <c r="E177" i="7" s="1"/>
  <c r="E136" i="7"/>
  <c r="F190" i="7"/>
  <c r="F84" i="7"/>
  <c r="E84" i="7"/>
  <c r="D219" i="7"/>
  <c r="E106" i="7"/>
  <c r="F123" i="7"/>
  <c r="F136" i="7"/>
  <c r="E150" i="7"/>
  <c r="E157" i="7"/>
  <c r="F201" i="7"/>
  <c r="E207" i="7"/>
  <c r="F207" i="7"/>
  <c r="F105" i="7"/>
  <c r="F106" i="7" s="1"/>
  <c r="E219" i="7" l="1"/>
  <c r="F219" i="7"/>
</calcChain>
</file>

<file path=xl/sharedStrings.xml><?xml version="1.0" encoding="utf-8"?>
<sst xmlns="http://schemas.openxmlformats.org/spreadsheetml/2006/main" count="269" uniqueCount="128">
  <si>
    <t>MO</t>
  </si>
  <si>
    <t>MOP</t>
  </si>
  <si>
    <t>POR</t>
  </si>
  <si>
    <t>RAB</t>
  </si>
  <si>
    <t>PET</t>
  </si>
  <si>
    <t>OJI</t>
  </si>
  <si>
    <t>HOS</t>
  </si>
  <si>
    <t>NBE</t>
  </si>
  <si>
    <t>LHO</t>
  </si>
  <si>
    <t>NVE</t>
  </si>
  <si>
    <t>KPO</t>
  </si>
  <si>
    <t>SLO</t>
  </si>
  <si>
    <t>SVI</t>
  </si>
  <si>
    <t>PRO</t>
  </si>
  <si>
    <t>VIT</t>
  </si>
  <si>
    <t>PUS</t>
  </si>
  <si>
    <t>PLE</t>
  </si>
  <si>
    <t>SBE</t>
  </si>
  <si>
    <t>MHH</t>
  </si>
  <si>
    <t>MAR</t>
  </si>
  <si>
    <t>POL</t>
  </si>
  <si>
    <t>HRA</t>
  </si>
  <si>
    <t>MIC</t>
  </si>
  <si>
    <t>TRE</t>
  </si>
  <si>
    <t>název</t>
  </si>
  <si>
    <t>SR</t>
  </si>
  <si>
    <t>UR</t>
  </si>
  <si>
    <t>poukázáno</t>
  </si>
  <si>
    <t>NEÚČELOVÁ INVESTIČNÍ DOTACE CELKEM</t>
  </si>
  <si>
    <t>číslo</t>
  </si>
  <si>
    <t>ÚHRN</t>
  </si>
  <si>
    <t>ÚČELOVÁ INVESTIČNÍ DOTACE CELKEM</t>
  </si>
  <si>
    <t>ÚZ 0</t>
  </si>
  <si>
    <t>ÚZ 3595</t>
  </si>
  <si>
    <t xml:space="preserve">ÚZ 0 </t>
  </si>
  <si>
    <t>ÚZ 3500</t>
  </si>
  <si>
    <t>Dětský ráj II v Sadu Dr. Milady Horákové</t>
  </si>
  <si>
    <t>Úprava odvodnění ul. Sirotčí</t>
  </si>
  <si>
    <t>Výstavba tělocvičny u ZŠ č.p. 136</t>
  </si>
  <si>
    <t>Novostavba MŠ na ul. Stanislavského</t>
  </si>
  <si>
    <t>Zvýšení bezpečnosti silničního provozu na ul. Staroveské</t>
  </si>
  <si>
    <t>výkupy pozemků</t>
  </si>
  <si>
    <t>výkupy nemovitostí v areálu U Cementárny</t>
  </si>
  <si>
    <t>zhotovení repliky sochy A. Švehly</t>
  </si>
  <si>
    <t>Proměna sadu Dr. Milady Horákové</t>
  </si>
  <si>
    <t>ÚZ 3636</t>
  </si>
  <si>
    <t>výkup nemovitosti - pozemek parc. č. 630</t>
  </si>
  <si>
    <t>Náměstí Ostrava-Jih, veřejný prostor Hrabůvka</t>
  </si>
  <si>
    <t>Rekonstrukce chodníku na ul. Mitrovická</t>
  </si>
  <si>
    <t>Rekonstrukce chodníku Svatoplukova</t>
  </si>
  <si>
    <t>ÚZ 95</t>
  </si>
  <si>
    <t>Sanace suterénu MŠO, ul. Dvořákova</t>
  </si>
  <si>
    <t>ÚZ 1030</t>
  </si>
  <si>
    <t>Protipovodňová opatření</t>
  </si>
  <si>
    <t>ÚZ 6330</t>
  </si>
  <si>
    <t>Rekonstrukce nám. Dr. E. Beneše</t>
  </si>
  <si>
    <t>Regenerace sídliště Muglinov - 4. etapa</t>
  </si>
  <si>
    <t>elektrický konvektomat</t>
  </si>
  <si>
    <t>Úspora energie - sloučení odběrných míst v ZŠ</t>
  </si>
  <si>
    <t>Rekonstrukce Mariánského náměstí</t>
  </si>
  <si>
    <t>Areál pro děti a aktivní odpočinek na Janové</t>
  </si>
  <si>
    <t>Rekonstrukce šaten ZŠ</t>
  </si>
  <si>
    <t>PD na připravované investiční akce</t>
  </si>
  <si>
    <t>Hasičská zbrojnice - PD</t>
  </si>
  <si>
    <t>Přechod pro chodce na ul. Těšínská</t>
  </si>
  <si>
    <t>Stavební úpravy na ul. Radvanická</t>
  </si>
  <si>
    <t xml:space="preserve">Udržovací práce na chodnících ul. Těšínská, II. etapa </t>
  </si>
  <si>
    <t>Modernizace BD Šenovská č. 65, 67, 69</t>
  </si>
  <si>
    <t>Regenerace sídliště Kamenec</t>
  </si>
  <si>
    <t>Revitalizace fotbalového areálu Klegova</t>
  </si>
  <si>
    <t>výkupy nemovitostí - Cyklistická trasa I, podél silnice Na lukách</t>
  </si>
  <si>
    <t>Přírodovědná učebna v přírodě na Srbské</t>
  </si>
  <si>
    <t>Rek.části školní zahrady pro potřeby kroužku mladých zahrádkářů</t>
  </si>
  <si>
    <t>Parkoviště Alžírská</t>
  </si>
  <si>
    <t>Rekonstrukce Baarova, přechod pro chodce</t>
  </si>
  <si>
    <t>Budova technického zázemí MO Lhotka</t>
  </si>
  <si>
    <t>Stavební úpravy školy č.p. 330</t>
  </si>
  <si>
    <t>Výkup pozemku p.č. 2800/2,3 vč. budovy č.p. 2163</t>
  </si>
  <si>
    <t>SÚ a přístavba hasičské stanice na ul. Těšínská 41</t>
  </si>
  <si>
    <t>Přístřešek pro jízdní kola</t>
  </si>
  <si>
    <t>výkupy nemovitostí - poz. p.č. 1941/2 a 1945/15</t>
  </si>
  <si>
    <t>ZŠO, Gen. Píky 13A - sportovní hala - PD</t>
  </si>
  <si>
    <t>Rekonstrukce chodníků ul. Nádražní (u zastávky Muglinovská)</t>
  </si>
  <si>
    <t>Ostravské Vánoce</t>
  </si>
  <si>
    <t>Parkování Nová Osada - PD</t>
  </si>
  <si>
    <t xml:space="preserve"> Vybavení MŠ a ZŠ výpočetní a komunikační technikou</t>
  </si>
  <si>
    <t>Zateplení a výměna oken pavilonů MŠ Mitušova</t>
  </si>
  <si>
    <t>Podchod na náměstí Ostrava-Jih, stav.tech. průzkum</t>
  </si>
  <si>
    <t>Rekonstrukce BD č.p. 432-435 na ul. Skautská</t>
  </si>
  <si>
    <t>Pěší propojení sportovních areálů - hřiště - golfová klubovna</t>
  </si>
  <si>
    <t>Rekonstrukce tělodvičny budovy na ul. Rolnické č. 55 - PD</t>
  </si>
  <si>
    <t>Rekonstrukce oplocení technického dvora na ul. Rolnické</t>
  </si>
  <si>
    <t>SÚ objektu ZŠ č.p. 867 - nové oddělení školky</t>
  </si>
  <si>
    <t>Rekonstrukce podlah tělocvičny ZŠ Vrchlického</t>
  </si>
  <si>
    <t xml:space="preserve">ÚZ 6330 </t>
  </si>
  <si>
    <t>Rekonstrukce ul. Zeyerova a části ul. Kostelní</t>
  </si>
  <si>
    <t>ZŠO Nádražní 117 - rekonstrukce hřiště</t>
  </si>
  <si>
    <t>Opravy a modernizace volných bytů</t>
  </si>
  <si>
    <t>Oprava a modernizace volných b.j. č. 1 a 5, Plechanovova 271/6a</t>
  </si>
  <si>
    <t>Založení stavby Přístavba hasičské zbrojnice</t>
  </si>
  <si>
    <t>Rekonstrukce vodovodu ul. Televizní</t>
  </si>
  <si>
    <t>výkupy nemovitostí - poz. p.č. 3082/2 a 3028/3</t>
  </si>
  <si>
    <t>Parkovací stání u MŠ na ul. Zelená</t>
  </si>
  <si>
    <t>Rekonstrukce bytového domu Bílá 2</t>
  </si>
  <si>
    <t>Univerzální transportní vozidlo</t>
  </si>
  <si>
    <t>Rekonstrukce budovy úřadu - PD</t>
  </si>
  <si>
    <t>Zahrada u novostavby MŠ na ul. Stanislavského</t>
  </si>
  <si>
    <t>Účelová investiční dotace městským obvodům z rozpočtu SMO k 31. 12. 2017</t>
  </si>
  <si>
    <t>Oplocení hřiště ZŠ Chrustova</t>
  </si>
  <si>
    <t>zakoupení malotraktoru</t>
  </si>
  <si>
    <t>Naučná stezka v k.ú. Michálkovice-Permoníkova stezka</t>
  </si>
  <si>
    <t>PD k zástavbě v lokalitě Nová Ves - Zacpalova, Valašská, Lašská</t>
  </si>
  <si>
    <t>PD na sportovní volnočasový areál na ul. Valašské</t>
  </si>
  <si>
    <t>Přístavba sociálního zařízení k přístřešku ve sportovním areálu</t>
  </si>
  <si>
    <t>Koncepce bydlení a její pilotní ověření</t>
  </si>
  <si>
    <t>SÚ ul. O. Jeremiáše</t>
  </si>
  <si>
    <t>Výkup pozemku parc.č. 2407/2</t>
  </si>
  <si>
    <t>ÚZ 7603</t>
  </si>
  <si>
    <t>Podzemní kontejnery na odpad I.</t>
  </si>
  <si>
    <t>Komunitní centrum - VŠICHNI SPOLU</t>
  </si>
  <si>
    <t>Podzemní kontejnery v O.-Porubě II.</t>
  </si>
  <si>
    <t>Zajištění bezbariérovosti, přístavba dvou tříd a rek.třídy pro polytechnickou výuku v ZŠ v Kr. Poli</t>
  </si>
  <si>
    <t xml:space="preserve">   </t>
  </si>
  <si>
    <t>Souvislá údržba chodníků ul. Těšínská,úsek Fryštátská-Pod Kaplí</t>
  </si>
  <si>
    <t>v Kč</t>
  </si>
  <si>
    <t xml:space="preserve">Neúčelová investiční dotace městským obvodům z rozpočtu SMO  k 31. 12 2017    </t>
  </si>
  <si>
    <t>neúčelová investiční dotace na r. 2017</t>
  </si>
  <si>
    <t>převod neúčelové investiční dotace z r.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</si>
</sst>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" fontId="4" fillId="3" borderId="0" xfId="0" applyNumberFormat="1" applyFont="1" applyFill="1" applyBorder="1"/>
    <xf numFmtId="4" fontId="1" fillId="3" borderId="0" xfId="0" applyNumberFormat="1" applyFont="1" applyFill="1" applyBorder="1"/>
    <xf numFmtId="0" fontId="1" fillId="0" borderId="0" xfId="0" applyFont="1" applyFill="1" applyBorder="1" applyAlignment="1">
      <alignment horizontal="justify" vertical="justify"/>
    </xf>
    <xf numFmtId="0" fontId="1" fillId="0" borderId="0" xfId="0" applyFont="1" applyFill="1" applyBorder="1"/>
    <xf numFmtId="4" fontId="4" fillId="0" borderId="0" xfId="0" applyNumberFormat="1" applyFont="1" applyFill="1" applyBorder="1"/>
    <xf numFmtId="4" fontId="1" fillId="0" borderId="0" xfId="0" applyNumberFormat="1" applyFont="1" applyFill="1" applyBorder="1"/>
    <xf numFmtId="0" fontId="4" fillId="0" borderId="0" xfId="0" applyFont="1" applyFill="1" applyBorder="1"/>
    <xf numFmtId="0" fontId="4" fillId="0" borderId="2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4" fontId="0" fillId="0" borderId="0" xfId="0" applyNumberFormat="1" applyFill="1" applyBorder="1"/>
    <xf numFmtId="0" fontId="4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/>
    <xf numFmtId="0" fontId="4" fillId="0" borderId="41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Fill="1" applyBorder="1" applyAlignment="1"/>
    <xf numFmtId="0" fontId="4" fillId="0" borderId="35" xfId="0" applyFont="1" applyFill="1" applyBorder="1" applyAlignment="1">
      <alignment horizontal="left" vertical="center"/>
    </xf>
    <xf numFmtId="4" fontId="4" fillId="3" borderId="0" xfId="0" applyNumberFormat="1" applyFont="1" applyFill="1" applyAlignment="1">
      <alignment horizontal="right"/>
    </xf>
    <xf numFmtId="4" fontId="1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4" fontId="6" fillId="2" borderId="14" xfId="0" applyNumberFormat="1" applyFont="1" applyFill="1" applyBorder="1" applyAlignment="1">
      <alignment horizontal="right" vertical="center"/>
    </xf>
    <xf numFmtId="4" fontId="6" fillId="2" borderId="47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justify"/>
    </xf>
    <xf numFmtId="0" fontId="6" fillId="0" borderId="52" xfId="0" applyFont="1" applyFill="1" applyBorder="1" applyAlignment="1">
      <alignment horizontal="center" vertical="justify"/>
    </xf>
    <xf numFmtId="0" fontId="6" fillId="2" borderId="14" xfId="0" applyFont="1" applyFill="1" applyBorder="1" applyAlignment="1">
      <alignment horizontal="center" vertical="justify"/>
    </xf>
    <xf numFmtId="0" fontId="6" fillId="2" borderId="13" xfId="0" applyFont="1" applyFill="1" applyBorder="1"/>
    <xf numFmtId="4" fontId="6" fillId="2" borderId="14" xfId="0" applyNumberFormat="1" applyFont="1" applyFill="1" applyBorder="1"/>
    <xf numFmtId="4" fontId="6" fillId="2" borderId="47" xfId="0" applyNumberFormat="1" applyFont="1" applyFill="1" applyBorder="1" applyAlignment="1">
      <alignment horizontal="right"/>
    </xf>
    <xf numFmtId="4" fontId="6" fillId="0" borderId="15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justify"/>
    </xf>
    <xf numFmtId="0" fontId="6" fillId="2" borderId="9" xfId="0" applyFont="1" applyFill="1" applyBorder="1"/>
    <xf numFmtId="4" fontId="6" fillId="2" borderId="10" xfId="0" applyNumberFormat="1" applyFont="1" applyFill="1" applyBorder="1"/>
    <xf numFmtId="0" fontId="6" fillId="2" borderId="43" xfId="0" applyFont="1" applyFill="1" applyBorder="1" applyAlignment="1">
      <alignment horizontal="center" vertical="justify"/>
    </xf>
    <xf numFmtId="0" fontId="6" fillId="2" borderId="43" xfId="0" applyFont="1" applyFill="1" applyBorder="1"/>
    <xf numFmtId="4" fontId="6" fillId="2" borderId="43" xfId="0" applyNumberFormat="1" applyFont="1" applyFill="1" applyBorder="1"/>
    <xf numFmtId="0" fontId="6" fillId="2" borderId="14" xfId="0" applyFont="1" applyFill="1" applyBorder="1"/>
    <xf numFmtId="4" fontId="6" fillId="2" borderId="15" xfId="0" applyNumberFormat="1" applyFont="1" applyFill="1" applyBorder="1" applyAlignment="1">
      <alignment horizontal="right"/>
    </xf>
    <xf numFmtId="4" fontId="6" fillId="2" borderId="17" xfId="0" applyNumberFormat="1" applyFont="1" applyFill="1" applyBorder="1"/>
    <xf numFmtId="4" fontId="6" fillId="2" borderId="49" xfId="0" applyNumberFormat="1" applyFont="1" applyFill="1" applyBorder="1"/>
    <xf numFmtId="0" fontId="6" fillId="0" borderId="0" xfId="0" applyFont="1" applyFill="1" applyBorder="1" applyAlignment="1">
      <alignment horizontal="justify" vertical="justify"/>
    </xf>
    <xf numFmtId="0" fontId="6" fillId="0" borderId="0" xfId="0" applyFont="1" applyFill="1" applyBorder="1"/>
    <xf numFmtId="4" fontId="8" fillId="0" borderId="0" xfId="0" applyNumberFormat="1" applyFont="1" applyFill="1" applyBorder="1"/>
    <xf numFmtId="4" fontId="6" fillId="0" borderId="0" xfId="0" applyNumberFormat="1" applyFont="1" applyFill="1" applyBorder="1"/>
    <xf numFmtId="4" fontId="6" fillId="3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justify" vertical="justify"/>
    </xf>
    <xf numFmtId="0" fontId="8" fillId="0" borderId="0" xfId="0" applyFont="1" applyFill="1" applyBorder="1"/>
    <xf numFmtId="4" fontId="8" fillId="3" borderId="0" xfId="0" applyNumberFormat="1" applyFont="1" applyFill="1" applyBorder="1" applyAlignment="1">
      <alignment horizontal="right"/>
    </xf>
    <xf numFmtId="0" fontId="8" fillId="0" borderId="4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/>
    </xf>
    <xf numFmtId="4" fontId="8" fillId="0" borderId="43" xfId="0" applyNumberFormat="1" applyFont="1" applyFill="1" applyBorder="1" applyAlignment="1">
      <alignment horizontal="right" vertical="center"/>
    </xf>
    <xf numFmtId="4" fontId="8" fillId="3" borderId="48" xfId="0" applyNumberFormat="1" applyFont="1" applyFill="1" applyBorder="1" applyAlignment="1">
      <alignment horizontal="right" vertical="center"/>
    </xf>
    <xf numFmtId="0" fontId="8" fillId="0" borderId="45" xfId="0" applyFont="1" applyFill="1" applyBorder="1" applyAlignment="1">
      <alignment horizontal="center" vertical="justify"/>
    </xf>
    <xf numFmtId="0" fontId="8" fillId="0" borderId="44" xfId="0" applyFont="1" applyFill="1" applyBorder="1"/>
    <xf numFmtId="4" fontId="8" fillId="0" borderId="45" xfId="0" applyNumberFormat="1" applyFont="1" applyFill="1" applyBorder="1"/>
    <xf numFmtId="4" fontId="8" fillId="3" borderId="38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center" vertical="justify"/>
    </xf>
    <xf numFmtId="0" fontId="8" fillId="0" borderId="13" xfId="0" applyFont="1" applyFill="1" applyBorder="1"/>
    <xf numFmtId="4" fontId="8" fillId="0" borderId="14" xfId="0" applyNumberFormat="1" applyFont="1" applyFill="1" applyBorder="1"/>
    <xf numFmtId="4" fontId="8" fillId="0" borderId="7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 vertical="center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center" vertical="justify"/>
    </xf>
    <xf numFmtId="4" fontId="8" fillId="3" borderId="7" xfId="0" applyNumberFormat="1" applyFont="1" applyFill="1" applyBorder="1" applyAlignment="1">
      <alignment horizontal="right"/>
    </xf>
    <xf numFmtId="0" fontId="8" fillId="0" borderId="42" xfId="0" applyFont="1" applyFill="1" applyBorder="1"/>
    <xf numFmtId="4" fontId="8" fillId="0" borderId="43" xfId="0" applyNumberFormat="1" applyFont="1" applyFill="1" applyBorder="1"/>
    <xf numFmtId="4" fontId="8" fillId="0" borderId="15" xfId="0" applyNumberFormat="1" applyFont="1" applyFill="1" applyBorder="1" applyAlignment="1">
      <alignment horizontal="right"/>
    </xf>
    <xf numFmtId="4" fontId="8" fillId="3" borderId="48" xfId="0" applyNumberFormat="1" applyFont="1" applyFill="1" applyBorder="1" applyAlignment="1">
      <alignment horizontal="right"/>
    </xf>
    <xf numFmtId="4" fontId="8" fillId="3" borderId="15" xfId="0" applyNumberFormat="1" applyFont="1" applyFill="1" applyBorder="1" applyAlignment="1">
      <alignment horizontal="right"/>
    </xf>
    <xf numFmtId="0" fontId="8" fillId="0" borderId="43" xfId="0" applyFont="1" applyFill="1" applyBorder="1"/>
    <xf numFmtId="4" fontId="8" fillId="3" borderId="27" xfId="0" applyNumberFormat="1" applyFont="1" applyFill="1" applyBorder="1" applyAlignment="1">
      <alignment horizontal="right"/>
    </xf>
    <xf numFmtId="0" fontId="8" fillId="0" borderId="14" xfId="0" applyFont="1" applyFill="1" applyBorder="1"/>
    <xf numFmtId="0" fontId="9" fillId="0" borderId="0" xfId="0" applyFont="1" applyFill="1" applyAlignment="1"/>
    <xf numFmtId="0" fontId="6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4" fontId="8" fillId="0" borderId="19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/>
    </xf>
    <xf numFmtId="4" fontId="8" fillId="0" borderId="31" xfId="0" applyNumberFormat="1" applyFont="1" applyFill="1" applyBorder="1" applyAlignment="1">
      <alignment horizontal="right" vertical="center"/>
    </xf>
    <xf numFmtId="4" fontId="8" fillId="0" borderId="18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4" fontId="8" fillId="0" borderId="28" xfId="0" applyNumberFormat="1" applyFont="1" applyFill="1" applyBorder="1" applyAlignment="1">
      <alignment horizontal="right" vertical="center"/>
    </xf>
    <xf numFmtId="4" fontId="8" fillId="0" borderId="30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4" fontId="6" fillId="0" borderId="25" xfId="0" applyNumberFormat="1" applyFont="1" applyFill="1" applyBorder="1" applyAlignment="1">
      <alignment horizontal="right" vertical="center"/>
    </xf>
    <xf numFmtId="4" fontId="6" fillId="0" borderId="27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/>
    </xf>
    <xf numFmtId="4" fontId="8" fillId="0" borderId="40" xfId="0" applyNumberFormat="1" applyFont="1" applyFill="1" applyBorder="1" applyAlignment="1">
      <alignment horizontal="right" vertical="center"/>
    </xf>
    <xf numFmtId="4" fontId="8" fillId="0" borderId="8" xfId="0" applyNumberFormat="1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4" fontId="8" fillId="0" borderId="23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/>
    </xf>
    <xf numFmtId="4" fontId="6" fillId="0" borderId="20" xfId="0" applyNumberFormat="1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4" fontId="8" fillId="0" borderId="22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4" fontId="8" fillId="0" borderId="36" xfId="0" applyNumberFormat="1" applyFont="1" applyFill="1" applyBorder="1" applyAlignment="1">
      <alignment horizontal="right" vertical="center"/>
    </xf>
    <xf numFmtId="4" fontId="8" fillId="0" borderId="38" xfId="0" applyNumberFormat="1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4" fontId="8" fillId="0" borderId="33" xfId="0" applyNumberFormat="1" applyFont="1" applyFill="1" applyBorder="1" applyAlignment="1">
      <alignment horizontal="right" vertical="center"/>
    </xf>
    <xf numFmtId="4" fontId="8" fillId="0" borderId="35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" fontId="6" fillId="0" borderId="22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4" fontId="6" fillId="2" borderId="39" xfId="0" applyNumberFormat="1" applyFont="1" applyFill="1" applyBorder="1" applyAlignment="1">
      <alignment horizontal="right" vertical="center"/>
    </xf>
    <xf numFmtId="0" fontId="8" fillId="0" borderId="37" xfId="0" applyFont="1" applyFill="1" applyBorder="1" applyAlignment="1">
      <alignment horizontal="left" vertical="center" wrapText="1"/>
    </xf>
    <xf numFmtId="4" fontId="6" fillId="0" borderId="39" xfId="0" applyNumberFormat="1" applyFont="1" applyFill="1" applyBorder="1"/>
    <xf numFmtId="0" fontId="6" fillId="0" borderId="3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" fontId="6" fillId="2" borderId="19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/>
    </xf>
    <xf numFmtId="0" fontId="8" fillId="0" borderId="3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4" fontId="8" fillId="0" borderId="39" xfId="0" applyNumberFormat="1" applyFont="1" applyFill="1" applyBorder="1" applyAlignment="1">
      <alignment horizontal="right" vertical="center"/>
    </xf>
    <xf numFmtId="4" fontId="8" fillId="0" borderId="47" xfId="0" applyNumberFormat="1" applyFont="1" applyFill="1" applyBorder="1" applyAlignment="1">
      <alignment horizontal="right" vertical="center"/>
    </xf>
    <xf numFmtId="0" fontId="6" fillId="0" borderId="46" xfId="0" applyFont="1" applyFill="1" applyBorder="1" applyAlignment="1">
      <alignment horizontal="left" vertical="center"/>
    </xf>
    <xf numFmtId="4" fontId="6" fillId="0" borderId="39" xfId="0" applyNumberFormat="1" applyFont="1" applyFill="1" applyBorder="1" applyAlignment="1">
      <alignment horizontal="right" vertical="center"/>
    </xf>
    <xf numFmtId="4" fontId="6" fillId="0" borderId="47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justify" vertical="justify"/>
    </xf>
    <xf numFmtId="0" fontId="6" fillId="0" borderId="16" xfId="0" applyFont="1" applyFill="1" applyBorder="1" applyAlignment="1">
      <alignment horizontal="justify" vertical="justify"/>
    </xf>
    <xf numFmtId="0" fontId="8" fillId="0" borderId="17" xfId="0" applyFont="1" applyFill="1" applyBorder="1" applyAlignment="1"/>
    <xf numFmtId="0" fontId="6" fillId="2" borderId="50" xfId="0" applyFont="1" applyFill="1" applyBorder="1" applyAlignment="1">
      <alignment horizontal="justify" vertical="justify"/>
    </xf>
    <xf numFmtId="0" fontId="6" fillId="2" borderId="16" xfId="0" applyFont="1" applyFill="1" applyBorder="1" applyAlignment="1">
      <alignment horizontal="justify" vertical="justify"/>
    </xf>
    <xf numFmtId="0" fontId="8" fillId="2" borderId="17" xfId="0" applyFont="1" applyFill="1" applyBorder="1" applyAlignment="1"/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9"/>
  <sheetViews>
    <sheetView tabSelected="1" topLeftCell="A46" workbookViewId="0">
      <selection activeCell="G71" sqref="G71"/>
    </sheetView>
  </sheetViews>
  <sheetFormatPr defaultRowHeight="12.75" x14ac:dyDescent="0.2"/>
  <cols>
    <col min="3" max="3" width="55.5703125" customWidth="1"/>
    <col min="4" max="6" width="15.28515625" customWidth="1"/>
    <col min="7" max="7" width="18.140625" customWidth="1"/>
  </cols>
  <sheetData>
    <row r="1" spans="1:6" ht="18.75" x14ac:dyDescent="0.3">
      <c r="A1" s="199" t="s">
        <v>125</v>
      </c>
      <c r="B1" s="200"/>
      <c r="C1" s="200"/>
      <c r="D1" s="200"/>
      <c r="E1" s="200"/>
      <c r="F1" s="200"/>
    </row>
    <row r="2" spans="1:6" ht="13.5" thickBot="1" x14ac:dyDescent="0.25">
      <c r="A2" s="30"/>
      <c r="B2" s="30"/>
      <c r="C2" s="30"/>
      <c r="D2" s="30"/>
      <c r="E2" s="30"/>
      <c r="F2" s="169" t="s">
        <v>124</v>
      </c>
    </row>
    <row r="3" spans="1:6" ht="12.75" customHeight="1" x14ac:dyDescent="0.2">
      <c r="A3" s="191" t="s">
        <v>0</v>
      </c>
      <c r="B3" s="40"/>
      <c r="C3" s="193" t="s">
        <v>24</v>
      </c>
      <c r="D3" s="195" t="s">
        <v>25</v>
      </c>
      <c r="E3" s="195" t="s">
        <v>26</v>
      </c>
      <c r="F3" s="197" t="s">
        <v>27</v>
      </c>
    </row>
    <row r="4" spans="1:6" ht="15" thickBot="1" x14ac:dyDescent="0.25">
      <c r="A4" s="192"/>
      <c r="B4" s="41"/>
      <c r="C4" s="194"/>
      <c r="D4" s="196"/>
      <c r="E4" s="196"/>
      <c r="F4" s="198"/>
    </row>
    <row r="5" spans="1:6" ht="15.75" thickTop="1" thickBot="1" x14ac:dyDescent="0.25">
      <c r="A5" s="42" t="s">
        <v>1</v>
      </c>
      <c r="B5" s="73"/>
      <c r="C5" s="74" t="s">
        <v>32</v>
      </c>
      <c r="D5" s="75"/>
      <c r="E5" s="75"/>
      <c r="F5" s="76">
        <v>12332000</v>
      </c>
    </row>
    <row r="6" spans="1:6" ht="15" thickBot="1" x14ac:dyDescent="0.25">
      <c r="A6" s="43"/>
      <c r="B6" s="44"/>
      <c r="C6" s="45" t="s">
        <v>30</v>
      </c>
      <c r="D6" s="46">
        <v>12332000</v>
      </c>
      <c r="E6" s="46">
        <v>12332000</v>
      </c>
      <c r="F6" s="47">
        <v>12332000</v>
      </c>
    </row>
    <row r="7" spans="1:6" ht="15" thickBot="1" x14ac:dyDescent="0.25">
      <c r="A7" s="48" t="s">
        <v>11</v>
      </c>
      <c r="B7" s="77"/>
      <c r="C7" s="78" t="s">
        <v>34</v>
      </c>
      <c r="D7" s="79">
        <v>9632000</v>
      </c>
      <c r="E7" s="79">
        <v>9632000</v>
      </c>
      <c r="F7" s="80">
        <v>9632000</v>
      </c>
    </row>
    <row r="8" spans="1:6" ht="15.75" thickTop="1" thickBot="1" x14ac:dyDescent="0.25">
      <c r="A8" s="48"/>
      <c r="B8" s="81"/>
      <c r="C8" s="82" t="s">
        <v>33</v>
      </c>
      <c r="D8" s="83">
        <v>5470000</v>
      </c>
      <c r="E8" s="83">
        <v>5470000</v>
      </c>
      <c r="F8" s="84">
        <v>5470000</v>
      </c>
    </row>
    <row r="9" spans="1:6" ht="15" thickBot="1" x14ac:dyDescent="0.25">
      <c r="A9" s="49"/>
      <c r="B9" s="50"/>
      <c r="C9" s="51" t="s">
        <v>30</v>
      </c>
      <c r="D9" s="52">
        <f>SUM(D7+D8)</f>
        <v>15102000</v>
      </c>
      <c r="E9" s="52">
        <f>SUM(E7+E8)</f>
        <v>15102000</v>
      </c>
      <c r="F9" s="53">
        <f>SUM(F7:F8)</f>
        <v>15102000</v>
      </c>
    </row>
    <row r="10" spans="1:6" ht="15" thickBot="1" x14ac:dyDescent="0.25">
      <c r="A10" s="48" t="s">
        <v>5</v>
      </c>
      <c r="B10" s="81"/>
      <c r="C10" s="85" t="s">
        <v>32</v>
      </c>
      <c r="D10" s="86">
        <v>28331000</v>
      </c>
      <c r="E10" s="86">
        <v>27711000</v>
      </c>
      <c r="F10" s="87">
        <v>27707807.969999999</v>
      </c>
    </row>
    <row r="11" spans="1:6" ht="15.75" thickTop="1" thickBot="1" x14ac:dyDescent="0.25">
      <c r="A11" s="48"/>
      <c r="B11" s="88"/>
      <c r="C11" s="74" t="s">
        <v>33</v>
      </c>
      <c r="D11" s="75">
        <v>17887000</v>
      </c>
      <c r="E11" s="75">
        <v>17887000</v>
      </c>
      <c r="F11" s="76">
        <v>17885323.219999999</v>
      </c>
    </row>
    <row r="12" spans="1:6" ht="15" thickBot="1" x14ac:dyDescent="0.25">
      <c r="A12" s="49"/>
      <c r="B12" s="50"/>
      <c r="C12" s="45" t="s">
        <v>30</v>
      </c>
      <c r="D12" s="46">
        <f>SUM(D10+D11)</f>
        <v>46218000</v>
      </c>
      <c r="E12" s="46">
        <f>SUM(E10+E11)</f>
        <v>45598000</v>
      </c>
      <c r="F12" s="47">
        <f>SUM(F10:F11)</f>
        <v>45593131.189999998</v>
      </c>
    </row>
    <row r="13" spans="1:6" ht="15" thickBot="1" x14ac:dyDescent="0.25">
      <c r="A13" s="48" t="s">
        <v>2</v>
      </c>
      <c r="B13" s="77"/>
      <c r="C13" s="78" t="s">
        <v>32</v>
      </c>
      <c r="D13" s="79">
        <v>17604000</v>
      </c>
      <c r="E13" s="79">
        <v>16604000</v>
      </c>
      <c r="F13" s="80">
        <v>16604000</v>
      </c>
    </row>
    <row r="14" spans="1:6" ht="15.75" thickTop="1" thickBot="1" x14ac:dyDescent="0.25">
      <c r="A14" s="48"/>
      <c r="B14" s="81"/>
      <c r="C14" s="82" t="s">
        <v>33</v>
      </c>
      <c r="D14" s="83">
        <v>5000000</v>
      </c>
      <c r="E14" s="83">
        <v>5000000</v>
      </c>
      <c r="F14" s="89">
        <v>5000000</v>
      </c>
    </row>
    <row r="15" spans="1:6" ht="15" thickBot="1" x14ac:dyDescent="0.25">
      <c r="A15" s="49"/>
      <c r="B15" s="50"/>
      <c r="C15" s="51" t="s">
        <v>30</v>
      </c>
      <c r="D15" s="52">
        <f>SUM(D13+D14)</f>
        <v>22604000</v>
      </c>
      <c r="E15" s="52">
        <f>SUM(E13+E14)</f>
        <v>21604000</v>
      </c>
      <c r="F15" s="53">
        <f>SUM(F13:F14)</f>
        <v>21604000</v>
      </c>
    </row>
    <row r="16" spans="1:6" ht="15.75" thickTop="1" thickBot="1" x14ac:dyDescent="0.25">
      <c r="A16" s="48" t="s">
        <v>7</v>
      </c>
      <c r="B16" s="88"/>
      <c r="C16" s="90" t="s">
        <v>32</v>
      </c>
      <c r="D16" s="91">
        <v>1000000</v>
      </c>
      <c r="E16" s="91">
        <v>200000</v>
      </c>
      <c r="F16" s="89">
        <v>200000</v>
      </c>
    </row>
    <row r="17" spans="1:6" ht="15" thickBot="1" x14ac:dyDescent="0.25">
      <c r="A17" s="49"/>
      <c r="B17" s="50"/>
      <c r="C17" s="51" t="s">
        <v>30</v>
      </c>
      <c r="D17" s="52">
        <v>1000000</v>
      </c>
      <c r="E17" s="52">
        <v>200000</v>
      </c>
      <c r="F17" s="53">
        <f>SUM(F16)</f>
        <v>200000</v>
      </c>
    </row>
    <row r="18" spans="1:6" ht="15" thickBot="1" x14ac:dyDescent="0.25">
      <c r="A18" s="48" t="s">
        <v>14</v>
      </c>
      <c r="B18" s="81"/>
      <c r="C18" s="82" t="s">
        <v>32</v>
      </c>
      <c r="D18" s="83">
        <v>3124000</v>
      </c>
      <c r="E18" s="83">
        <v>3124000</v>
      </c>
      <c r="F18" s="89">
        <v>3124000</v>
      </c>
    </row>
    <row r="19" spans="1:6" ht="15" thickBot="1" x14ac:dyDescent="0.25">
      <c r="A19" s="49"/>
      <c r="B19" s="50"/>
      <c r="C19" s="51" t="s">
        <v>30</v>
      </c>
      <c r="D19" s="52">
        <v>3124000</v>
      </c>
      <c r="E19" s="52">
        <v>3124000</v>
      </c>
      <c r="F19" s="53">
        <f>SUM(F18)</f>
        <v>3124000</v>
      </c>
    </row>
    <row r="20" spans="1:6" ht="15" thickBot="1" x14ac:dyDescent="0.25">
      <c r="A20" s="48" t="s">
        <v>17</v>
      </c>
      <c r="B20" s="81"/>
      <c r="C20" s="82" t="s">
        <v>32</v>
      </c>
      <c r="D20" s="83">
        <v>2119000</v>
      </c>
      <c r="E20" s="83">
        <v>2119000</v>
      </c>
      <c r="F20" s="89">
        <v>2119000</v>
      </c>
    </row>
    <row r="21" spans="1:6" ht="15" thickBot="1" x14ac:dyDescent="0.25">
      <c r="A21" s="49"/>
      <c r="B21" s="50"/>
      <c r="C21" s="51" t="s">
        <v>30</v>
      </c>
      <c r="D21" s="52">
        <v>2119000</v>
      </c>
      <c r="E21" s="52">
        <v>2119000</v>
      </c>
      <c r="F21" s="53">
        <f>SUM(F20)</f>
        <v>2119000</v>
      </c>
    </row>
    <row r="22" spans="1:6" ht="15" thickBot="1" x14ac:dyDescent="0.25">
      <c r="A22" s="48" t="s">
        <v>15</v>
      </c>
      <c r="B22" s="81"/>
      <c r="C22" s="82" t="s">
        <v>32</v>
      </c>
      <c r="D22" s="83">
        <v>1000000</v>
      </c>
      <c r="E22" s="83">
        <v>628000</v>
      </c>
      <c r="F22" s="92">
        <v>627720.37</v>
      </c>
    </row>
    <row r="23" spans="1:6" ht="15.75" thickTop="1" thickBot="1" x14ac:dyDescent="0.25">
      <c r="A23" s="48"/>
      <c r="B23" s="88"/>
      <c r="C23" s="90" t="s">
        <v>33</v>
      </c>
      <c r="D23" s="91">
        <v>387000</v>
      </c>
      <c r="E23" s="91">
        <v>387000</v>
      </c>
      <c r="F23" s="93">
        <v>387000</v>
      </c>
    </row>
    <row r="24" spans="1:6" ht="15" thickBot="1" x14ac:dyDescent="0.25">
      <c r="A24" s="49"/>
      <c r="B24" s="50"/>
      <c r="C24" s="51" t="s">
        <v>30</v>
      </c>
      <c r="D24" s="52">
        <f>SUM(D22+D23)</f>
        <v>1387000</v>
      </c>
      <c r="E24" s="52">
        <f>SUM(E22+E23)</f>
        <v>1015000</v>
      </c>
      <c r="F24" s="53">
        <f>SUM(F22:F23)</f>
        <v>1014720.37</v>
      </c>
    </row>
    <row r="25" spans="1:6" ht="15" thickBot="1" x14ac:dyDescent="0.25">
      <c r="A25" s="48" t="s">
        <v>18</v>
      </c>
      <c r="B25" s="81"/>
      <c r="C25" s="82" t="s">
        <v>32</v>
      </c>
      <c r="D25" s="83">
        <v>4219000</v>
      </c>
      <c r="E25" s="83">
        <v>4219000</v>
      </c>
      <c r="F25" s="89">
        <v>4219000</v>
      </c>
    </row>
    <row r="26" spans="1:6" ht="15" thickBot="1" x14ac:dyDescent="0.25">
      <c r="A26" s="49"/>
      <c r="B26" s="55"/>
      <c r="C26" s="56" t="s">
        <v>30</v>
      </c>
      <c r="D26" s="57">
        <v>4219000</v>
      </c>
      <c r="E26" s="57">
        <v>4219000</v>
      </c>
      <c r="F26" s="53">
        <f>SUM(F25)</f>
        <v>4219000</v>
      </c>
    </row>
    <row r="27" spans="1:6" ht="15" thickBot="1" x14ac:dyDescent="0.25">
      <c r="A27" s="48" t="s">
        <v>15</v>
      </c>
      <c r="B27" s="81"/>
      <c r="C27" s="82" t="s">
        <v>32</v>
      </c>
      <c r="D27" s="83">
        <v>1163000</v>
      </c>
      <c r="E27" s="83">
        <v>1163000</v>
      </c>
      <c r="F27" s="89">
        <v>1163000</v>
      </c>
    </row>
    <row r="28" spans="1:6" ht="15" thickBot="1" x14ac:dyDescent="0.25">
      <c r="A28" s="49"/>
      <c r="B28" s="50"/>
      <c r="C28" s="51" t="s">
        <v>30</v>
      </c>
      <c r="D28" s="52">
        <v>1163000</v>
      </c>
      <c r="E28" s="52">
        <v>1163000</v>
      </c>
      <c r="F28" s="53">
        <f>SUM(F27)</f>
        <v>1163000</v>
      </c>
    </row>
    <row r="29" spans="1:6" ht="15" thickBot="1" x14ac:dyDescent="0.25">
      <c r="A29" s="48" t="s">
        <v>8</v>
      </c>
      <c r="B29" s="81"/>
      <c r="C29" s="82" t="s">
        <v>32</v>
      </c>
      <c r="D29" s="83">
        <v>1000000</v>
      </c>
      <c r="E29" s="83">
        <v>833000</v>
      </c>
      <c r="F29" s="89">
        <v>833000</v>
      </c>
    </row>
    <row r="30" spans="1:6" ht="15" thickBot="1" x14ac:dyDescent="0.25">
      <c r="A30" s="49"/>
      <c r="B30" s="50"/>
      <c r="C30" s="51" t="s">
        <v>30</v>
      </c>
      <c r="D30" s="52">
        <v>1000000</v>
      </c>
      <c r="E30" s="52">
        <f>1000000-167000</f>
        <v>833000</v>
      </c>
      <c r="F30" s="53">
        <f>SUM(F29)</f>
        <v>833000</v>
      </c>
    </row>
    <row r="31" spans="1:6" ht="15" thickBot="1" x14ac:dyDescent="0.25">
      <c r="A31" s="48" t="s">
        <v>6</v>
      </c>
      <c r="B31" s="81"/>
      <c r="C31" s="82" t="s">
        <v>32</v>
      </c>
      <c r="D31" s="83">
        <v>1000000</v>
      </c>
      <c r="E31" s="83">
        <v>256000</v>
      </c>
      <c r="F31" s="94">
        <v>255650</v>
      </c>
    </row>
    <row r="32" spans="1:6" ht="15.75" thickTop="1" thickBot="1" x14ac:dyDescent="0.25">
      <c r="A32" s="48"/>
      <c r="B32" s="88"/>
      <c r="C32" s="90" t="s">
        <v>33</v>
      </c>
      <c r="D32" s="91">
        <v>36000</v>
      </c>
      <c r="E32" s="91">
        <f>36000-36000</f>
        <v>0</v>
      </c>
      <c r="F32" s="93">
        <v>0</v>
      </c>
    </row>
    <row r="33" spans="1:6" ht="15" thickBot="1" x14ac:dyDescent="0.25">
      <c r="A33" s="49"/>
      <c r="B33" s="50"/>
      <c r="C33" s="51" t="s">
        <v>30</v>
      </c>
      <c r="D33" s="52">
        <v>1036000</v>
      </c>
      <c r="E33" s="52">
        <f>SUM(E31+E32)</f>
        <v>256000</v>
      </c>
      <c r="F33" s="53">
        <f>SUM(F31:F32)</f>
        <v>255650</v>
      </c>
    </row>
    <row r="34" spans="1:6" ht="15" thickBot="1" x14ac:dyDescent="0.25">
      <c r="A34" s="48" t="s">
        <v>9</v>
      </c>
      <c r="B34" s="81"/>
      <c r="C34" s="82" t="s">
        <v>32</v>
      </c>
      <c r="D34" s="83">
        <v>1000000</v>
      </c>
      <c r="E34" s="83">
        <v>743000</v>
      </c>
      <c r="F34" s="89">
        <v>742772.82</v>
      </c>
    </row>
    <row r="35" spans="1:6" ht="15" thickBot="1" x14ac:dyDescent="0.25">
      <c r="A35" s="49"/>
      <c r="B35" s="50"/>
      <c r="C35" s="51" t="s">
        <v>30</v>
      </c>
      <c r="D35" s="52">
        <v>1000000</v>
      </c>
      <c r="E35" s="52">
        <f>SUM(E34)</f>
        <v>743000</v>
      </c>
      <c r="F35" s="53">
        <f>SUM(F34)</f>
        <v>742772.82</v>
      </c>
    </row>
    <row r="36" spans="1:6" ht="15" thickBot="1" x14ac:dyDescent="0.25">
      <c r="A36" s="48" t="s">
        <v>13</v>
      </c>
      <c r="B36" s="81"/>
      <c r="C36" s="82" t="s">
        <v>32</v>
      </c>
      <c r="D36" s="83">
        <v>1000000</v>
      </c>
      <c r="E36" s="83">
        <v>1000000</v>
      </c>
      <c r="F36" s="94">
        <v>1000000</v>
      </c>
    </row>
    <row r="37" spans="1:6" ht="15.75" thickTop="1" thickBot="1" x14ac:dyDescent="0.25">
      <c r="A37" s="48"/>
      <c r="B37" s="88"/>
      <c r="C37" s="90" t="s">
        <v>33</v>
      </c>
      <c r="D37" s="91">
        <v>11000</v>
      </c>
      <c r="E37" s="91">
        <v>11000</v>
      </c>
      <c r="F37" s="93">
        <v>11000</v>
      </c>
    </row>
    <row r="38" spans="1:6" ht="15" thickBot="1" x14ac:dyDescent="0.25">
      <c r="A38" s="49"/>
      <c r="B38" s="50"/>
      <c r="C38" s="51" t="s">
        <v>30</v>
      </c>
      <c r="D38" s="52">
        <v>1011000</v>
      </c>
      <c r="E38" s="52">
        <v>1011000</v>
      </c>
      <c r="F38" s="53">
        <f>SUM(F36:F37)</f>
        <v>1011000</v>
      </c>
    </row>
    <row r="39" spans="1:6" ht="15" thickBot="1" x14ac:dyDescent="0.25">
      <c r="A39" s="48" t="s">
        <v>22</v>
      </c>
      <c r="B39" s="81"/>
      <c r="C39" s="82" t="s">
        <v>32</v>
      </c>
      <c r="D39" s="83">
        <v>1311000</v>
      </c>
      <c r="E39" s="83">
        <v>440000</v>
      </c>
      <c r="F39" s="89">
        <v>439831.84</v>
      </c>
    </row>
    <row r="40" spans="1:6" ht="15" thickBot="1" x14ac:dyDescent="0.25">
      <c r="A40" s="49"/>
      <c r="B40" s="50"/>
      <c r="C40" s="51" t="s">
        <v>30</v>
      </c>
      <c r="D40" s="52">
        <v>1311000</v>
      </c>
      <c r="E40" s="52">
        <f>SUM(E39)</f>
        <v>440000</v>
      </c>
      <c r="F40" s="53">
        <f>SUM(F39)</f>
        <v>439831.84</v>
      </c>
    </row>
    <row r="41" spans="1:6" ht="15" thickBot="1" x14ac:dyDescent="0.25">
      <c r="A41" s="48" t="s">
        <v>3</v>
      </c>
      <c r="B41" s="81"/>
      <c r="C41" s="82" t="s">
        <v>32</v>
      </c>
      <c r="D41" s="83">
        <v>3377000</v>
      </c>
      <c r="E41" s="83">
        <v>3377000</v>
      </c>
      <c r="F41" s="89">
        <v>3377000</v>
      </c>
    </row>
    <row r="42" spans="1:6" ht="15" thickBot="1" x14ac:dyDescent="0.25">
      <c r="A42" s="49"/>
      <c r="B42" s="50"/>
      <c r="C42" s="51" t="s">
        <v>30</v>
      </c>
      <c r="D42" s="52">
        <v>3377000</v>
      </c>
      <c r="E42" s="52">
        <v>3377000</v>
      </c>
      <c r="F42" s="53">
        <f>SUM(F41)</f>
        <v>3377000</v>
      </c>
    </row>
    <row r="43" spans="1:6" ht="15" thickBot="1" x14ac:dyDescent="0.25">
      <c r="A43" s="48" t="s">
        <v>10</v>
      </c>
      <c r="B43" s="81"/>
      <c r="C43" s="82" t="s">
        <v>32</v>
      </c>
      <c r="D43" s="83">
        <v>1107000</v>
      </c>
      <c r="E43" s="83">
        <v>423000</v>
      </c>
      <c r="F43" s="94">
        <v>417862.35</v>
      </c>
    </row>
    <row r="44" spans="1:6" ht="15.75" thickTop="1" thickBot="1" x14ac:dyDescent="0.25">
      <c r="A44" s="48"/>
      <c r="B44" s="88"/>
      <c r="C44" s="90" t="s">
        <v>33</v>
      </c>
      <c r="D44" s="91">
        <v>431000</v>
      </c>
      <c r="E44" s="91">
        <v>431000</v>
      </c>
      <c r="F44" s="93">
        <v>431000</v>
      </c>
    </row>
    <row r="45" spans="1:6" ht="15" thickBot="1" x14ac:dyDescent="0.25">
      <c r="A45" s="49"/>
      <c r="B45" s="50"/>
      <c r="C45" s="51" t="s">
        <v>30</v>
      </c>
      <c r="D45" s="52">
        <f>SUM(D43+D44)</f>
        <v>1538000</v>
      </c>
      <c r="E45" s="52">
        <f>SUM(E43+E44)</f>
        <v>854000</v>
      </c>
      <c r="F45" s="53">
        <f>SUM(F43:F44)</f>
        <v>848862.35</v>
      </c>
    </row>
    <row r="46" spans="1:6" ht="15" thickBot="1" x14ac:dyDescent="0.25">
      <c r="A46" s="48" t="s">
        <v>19</v>
      </c>
      <c r="B46" s="81"/>
      <c r="C46" s="82" t="s">
        <v>32</v>
      </c>
      <c r="D46" s="83">
        <v>1000000</v>
      </c>
      <c r="E46" s="83">
        <v>1000000</v>
      </c>
      <c r="F46" s="89">
        <v>1000000</v>
      </c>
    </row>
    <row r="47" spans="1:6" ht="15" thickBot="1" x14ac:dyDescent="0.25">
      <c r="A47" s="49"/>
      <c r="B47" s="50"/>
      <c r="C47" s="51" t="s">
        <v>30</v>
      </c>
      <c r="D47" s="52">
        <v>1000000</v>
      </c>
      <c r="E47" s="52">
        <v>1000000</v>
      </c>
      <c r="F47" s="53">
        <f>SUM(F46)</f>
        <v>1000000</v>
      </c>
    </row>
    <row r="48" spans="1:6" ht="15" thickBot="1" x14ac:dyDescent="0.25">
      <c r="A48" s="48" t="s">
        <v>20</v>
      </c>
      <c r="B48" s="81"/>
      <c r="C48" s="82" t="s">
        <v>32</v>
      </c>
      <c r="D48" s="83">
        <v>2456000</v>
      </c>
      <c r="E48" s="83">
        <v>2456000</v>
      </c>
      <c r="F48" s="94">
        <v>2456000</v>
      </c>
    </row>
    <row r="49" spans="1:6" ht="15.75" thickTop="1" thickBot="1" x14ac:dyDescent="0.25">
      <c r="A49" s="48"/>
      <c r="B49" s="88"/>
      <c r="C49" s="90" t="s">
        <v>33</v>
      </c>
      <c r="D49" s="91">
        <v>658000</v>
      </c>
      <c r="E49" s="91">
        <v>658000</v>
      </c>
      <c r="F49" s="93">
        <v>658000</v>
      </c>
    </row>
    <row r="50" spans="1:6" ht="15" thickBot="1" x14ac:dyDescent="0.25">
      <c r="A50" s="49"/>
      <c r="B50" s="50"/>
      <c r="C50" s="51" t="s">
        <v>30</v>
      </c>
      <c r="D50" s="52">
        <f>SUM(D48+D49)</f>
        <v>3114000</v>
      </c>
      <c r="E50" s="52">
        <v>3114000</v>
      </c>
      <c r="F50" s="53">
        <f>SUM(F48:F49)</f>
        <v>3114000</v>
      </c>
    </row>
    <row r="51" spans="1:6" ht="15.75" thickTop="1" thickBot="1" x14ac:dyDescent="0.25">
      <c r="A51" s="48" t="s">
        <v>21</v>
      </c>
      <c r="B51" s="88"/>
      <c r="C51" s="95" t="s">
        <v>32</v>
      </c>
      <c r="D51" s="91">
        <v>1827000</v>
      </c>
      <c r="E51" s="91">
        <v>192000</v>
      </c>
      <c r="F51" s="96">
        <v>191180</v>
      </c>
    </row>
    <row r="52" spans="1:6" ht="15.75" thickTop="1" thickBot="1" x14ac:dyDescent="0.25">
      <c r="A52" s="48"/>
      <c r="B52" s="88"/>
      <c r="C52" s="95" t="s">
        <v>33</v>
      </c>
      <c r="D52" s="91">
        <v>1811000</v>
      </c>
      <c r="E52" s="91">
        <v>1811000</v>
      </c>
      <c r="F52" s="93">
        <v>1811000</v>
      </c>
    </row>
    <row r="53" spans="1:6" ht="15.75" thickTop="1" thickBot="1" x14ac:dyDescent="0.25">
      <c r="A53" s="49"/>
      <c r="B53" s="58"/>
      <c r="C53" s="59" t="s">
        <v>30</v>
      </c>
      <c r="D53" s="60">
        <f>SUM(D51+D52)</f>
        <v>3638000</v>
      </c>
      <c r="E53" s="60">
        <f>SUM(E51+E52)</f>
        <v>2003000</v>
      </c>
      <c r="F53" s="53">
        <f>SUM(F51:F52)</f>
        <v>2002180</v>
      </c>
    </row>
    <row r="54" spans="1:6" ht="15.75" thickTop="1" thickBot="1" x14ac:dyDescent="0.25">
      <c r="A54" s="48" t="s">
        <v>12</v>
      </c>
      <c r="B54" s="88"/>
      <c r="C54" s="95" t="s">
        <v>32</v>
      </c>
      <c r="D54" s="91">
        <v>2398000</v>
      </c>
      <c r="E54" s="91">
        <v>0</v>
      </c>
      <c r="F54" s="96">
        <v>0</v>
      </c>
    </row>
    <row r="55" spans="1:6" ht="15.75" thickTop="1" thickBot="1" x14ac:dyDescent="0.25">
      <c r="A55" s="48"/>
      <c r="B55" s="88"/>
      <c r="C55" s="95" t="s">
        <v>33</v>
      </c>
      <c r="D55" s="91">
        <v>824000</v>
      </c>
      <c r="E55" s="91">
        <v>122000</v>
      </c>
      <c r="F55" s="96">
        <v>122000</v>
      </c>
    </row>
    <row r="56" spans="1:6" ht="15" thickBot="1" x14ac:dyDescent="0.25">
      <c r="A56" s="49"/>
      <c r="B56" s="50"/>
      <c r="C56" s="61" t="s">
        <v>30</v>
      </c>
      <c r="D56" s="52">
        <f>SUM(D54+D55)</f>
        <v>3222000</v>
      </c>
      <c r="E56" s="52">
        <f>SUM(E55)</f>
        <v>122000</v>
      </c>
      <c r="F56" s="62">
        <f>SUM(F54:F55)</f>
        <v>122000</v>
      </c>
    </row>
    <row r="57" spans="1:6" ht="15" thickBot="1" x14ac:dyDescent="0.25">
      <c r="A57" s="48" t="s">
        <v>23</v>
      </c>
      <c r="B57" s="81"/>
      <c r="C57" s="97" t="s">
        <v>32</v>
      </c>
      <c r="D57" s="83">
        <v>1000000</v>
      </c>
      <c r="E57" s="83">
        <v>1000000</v>
      </c>
      <c r="F57" s="94">
        <v>1000000</v>
      </c>
    </row>
    <row r="58" spans="1:6" ht="15.75" thickTop="1" thickBot="1" x14ac:dyDescent="0.25">
      <c r="A58" s="48"/>
      <c r="B58" s="88"/>
      <c r="C58" s="95" t="s">
        <v>33</v>
      </c>
      <c r="D58" s="91">
        <v>580000</v>
      </c>
      <c r="E58" s="91">
        <v>580000</v>
      </c>
      <c r="F58" s="96">
        <v>580000</v>
      </c>
    </row>
    <row r="59" spans="1:6" ht="15" thickBot="1" x14ac:dyDescent="0.25">
      <c r="A59" s="49"/>
      <c r="B59" s="50"/>
      <c r="C59" s="61" t="s">
        <v>30</v>
      </c>
      <c r="D59" s="52">
        <f>SUM(D57+D58)</f>
        <v>1580000</v>
      </c>
      <c r="E59" s="52">
        <v>1580000</v>
      </c>
      <c r="F59" s="62">
        <f>SUM(F57:F58)</f>
        <v>1580000</v>
      </c>
    </row>
    <row r="60" spans="1:6" ht="15" thickBot="1" x14ac:dyDescent="0.25">
      <c r="A60" s="48"/>
      <c r="B60" s="81"/>
      <c r="C60" s="97" t="s">
        <v>32</v>
      </c>
      <c r="D60" s="83">
        <v>1000000</v>
      </c>
      <c r="E60" s="83">
        <v>0</v>
      </c>
      <c r="F60" s="94">
        <v>0</v>
      </c>
    </row>
    <row r="61" spans="1:6" ht="15.75" thickTop="1" thickBot="1" x14ac:dyDescent="0.25">
      <c r="A61" s="48" t="s">
        <v>16</v>
      </c>
      <c r="B61" s="88"/>
      <c r="C61" s="95" t="s">
        <v>33</v>
      </c>
      <c r="D61" s="91">
        <v>700000</v>
      </c>
      <c r="E61" s="91">
        <v>48000</v>
      </c>
      <c r="F61" s="96">
        <v>47190</v>
      </c>
    </row>
    <row r="62" spans="1:6" ht="15" thickBot="1" x14ac:dyDescent="0.25">
      <c r="A62" s="49"/>
      <c r="B62" s="50"/>
      <c r="C62" s="61" t="s">
        <v>30</v>
      </c>
      <c r="D62" s="52">
        <f>SUM(D60+D61)</f>
        <v>1700000</v>
      </c>
      <c r="E62" s="52">
        <f>SUM(E60+E61)</f>
        <v>48000</v>
      </c>
      <c r="F62" s="62">
        <f>SUM(F60:F61)</f>
        <v>47190</v>
      </c>
    </row>
    <row r="63" spans="1:6" ht="15" thickBot="1" x14ac:dyDescent="0.25">
      <c r="A63" s="180" t="s">
        <v>28</v>
      </c>
      <c r="B63" s="181"/>
      <c r="C63" s="182"/>
      <c r="D63" s="63">
        <f t="shared" ref="D63:E63" si="0">SUM(D6+D9+D12+D15+D17+D19+D21+D24+D26+D28+D30+D33+D35+D38+D40+D42+D45+D47+D50+D53+D56+D59+D62)</f>
        <v>133795000</v>
      </c>
      <c r="E63" s="63">
        <f t="shared" si="0"/>
        <v>121857000</v>
      </c>
      <c r="F63" s="64">
        <f>SUM(F6+F9+F12+F15+F17+F19+F21+F24+F26+F28+F30+F33+F35+F38+F40+F42+F45+F47+F50+F53+F56+F59+F62)</f>
        <v>121844338.56999999</v>
      </c>
    </row>
    <row r="64" spans="1:6" ht="14.25" x14ac:dyDescent="0.2">
      <c r="A64" s="65"/>
      <c r="B64" s="65"/>
      <c r="C64" s="66"/>
      <c r="D64" s="67"/>
      <c r="E64" s="68"/>
      <c r="F64" s="69"/>
    </row>
    <row r="65" spans="1:6" s="32" customFormat="1" ht="14.25" x14ac:dyDescent="0.2">
      <c r="A65" s="70" t="s">
        <v>34</v>
      </c>
      <c r="B65" s="70"/>
      <c r="C65" s="71" t="s">
        <v>126</v>
      </c>
      <c r="D65" s="67"/>
      <c r="E65" s="67"/>
      <c r="F65" s="72"/>
    </row>
    <row r="66" spans="1:6" s="32" customFormat="1" ht="14.25" x14ac:dyDescent="0.2">
      <c r="A66" s="70" t="s">
        <v>33</v>
      </c>
      <c r="B66" s="70"/>
      <c r="C66" s="71" t="s">
        <v>127</v>
      </c>
      <c r="D66" s="67"/>
      <c r="E66" s="67"/>
      <c r="F66" s="72"/>
    </row>
    <row r="67" spans="1:6" x14ac:dyDescent="0.2">
      <c r="A67" s="5"/>
      <c r="B67" s="5"/>
      <c r="C67" s="9"/>
      <c r="D67" s="7"/>
      <c r="E67" s="7"/>
      <c r="F67" s="3"/>
    </row>
    <row r="68" spans="1:6" ht="18.75" x14ac:dyDescent="0.3">
      <c r="A68" s="98" t="s">
        <v>107</v>
      </c>
      <c r="B68" s="98"/>
      <c r="C68" s="98"/>
      <c r="D68" s="98"/>
      <c r="E68" s="1"/>
      <c r="F68" s="35"/>
    </row>
    <row r="69" spans="1:6" ht="13.5" thickBot="1" x14ac:dyDescent="0.25">
      <c r="A69" s="5"/>
      <c r="B69" s="5"/>
      <c r="C69" s="9"/>
      <c r="D69" s="7"/>
      <c r="E69" s="7"/>
      <c r="F69" s="37" t="s">
        <v>124</v>
      </c>
    </row>
    <row r="70" spans="1:6" ht="12.75" customHeight="1" x14ac:dyDescent="0.2">
      <c r="A70" s="183" t="s">
        <v>0</v>
      </c>
      <c r="B70" s="185" t="s">
        <v>29</v>
      </c>
      <c r="C70" s="187" t="s">
        <v>24</v>
      </c>
      <c r="D70" s="185" t="s">
        <v>25</v>
      </c>
      <c r="E70" s="185" t="s">
        <v>26</v>
      </c>
      <c r="F70" s="189" t="s">
        <v>27</v>
      </c>
    </row>
    <row r="71" spans="1:6" ht="13.5" thickBot="1" x14ac:dyDescent="0.25">
      <c r="A71" s="184"/>
      <c r="B71" s="186"/>
      <c r="C71" s="188"/>
      <c r="D71" s="186"/>
      <c r="E71" s="186"/>
      <c r="F71" s="190"/>
    </row>
    <row r="72" spans="1:6" ht="14.25" x14ac:dyDescent="0.2">
      <c r="A72" s="99" t="s">
        <v>1</v>
      </c>
      <c r="B72" s="100">
        <v>8762</v>
      </c>
      <c r="C72" s="101" t="s">
        <v>36</v>
      </c>
      <c r="D72" s="102">
        <v>3416000</v>
      </c>
      <c r="E72" s="102">
        <v>3416000</v>
      </c>
      <c r="F72" s="103">
        <f>846298.15+2569701.85</f>
        <v>3416000</v>
      </c>
    </row>
    <row r="73" spans="1:6" ht="14.25" x14ac:dyDescent="0.2">
      <c r="A73" s="104"/>
      <c r="B73" s="105">
        <v>6911</v>
      </c>
      <c r="C73" s="106" t="s">
        <v>51</v>
      </c>
      <c r="D73" s="107">
        <v>0</v>
      </c>
      <c r="E73" s="107">
        <v>2000000</v>
      </c>
      <c r="F73" s="108">
        <f>581134.93+853828.29+52030+513006.78</f>
        <v>2000000.0000000002</v>
      </c>
    </row>
    <row r="74" spans="1:6" ht="14.25" x14ac:dyDescent="0.2">
      <c r="A74" s="104"/>
      <c r="B74" s="105">
        <v>3948</v>
      </c>
      <c r="C74" s="106" t="s">
        <v>55</v>
      </c>
      <c r="D74" s="107">
        <v>0</v>
      </c>
      <c r="E74" s="107">
        <v>2300000</v>
      </c>
      <c r="F74" s="108">
        <f>1354890.67+945109.33</f>
        <v>2300000</v>
      </c>
    </row>
    <row r="75" spans="1:6" ht="15" thickBot="1" x14ac:dyDescent="0.25">
      <c r="A75" s="104"/>
      <c r="B75" s="109"/>
      <c r="C75" s="110" t="s">
        <v>83</v>
      </c>
      <c r="D75" s="111">
        <v>0</v>
      </c>
      <c r="E75" s="111">
        <f>3500000+395000</f>
        <v>3895000</v>
      </c>
      <c r="F75" s="112">
        <v>3895000</v>
      </c>
    </row>
    <row r="76" spans="1:6" ht="15.75" thickTop="1" thickBot="1" x14ac:dyDescent="0.25">
      <c r="A76" s="104"/>
      <c r="B76" s="113"/>
      <c r="C76" s="114" t="s">
        <v>35</v>
      </c>
      <c r="D76" s="115">
        <v>3416000</v>
      </c>
      <c r="E76" s="115">
        <f>SUM(E72:E75)</f>
        <v>11611000</v>
      </c>
      <c r="F76" s="116">
        <f>SUM(F72:F75)</f>
        <v>11611000</v>
      </c>
    </row>
    <row r="77" spans="1:6" ht="15" thickBot="1" x14ac:dyDescent="0.25">
      <c r="A77" s="104"/>
      <c r="B77" s="100"/>
      <c r="C77" s="101" t="s">
        <v>44</v>
      </c>
      <c r="D77" s="102">
        <v>0</v>
      </c>
      <c r="E77" s="102">
        <f>1500000-1118000</f>
        <v>382000</v>
      </c>
      <c r="F77" s="103">
        <f>223850+157300</f>
        <v>381150</v>
      </c>
    </row>
    <row r="78" spans="1:6" ht="15.75" thickTop="1" thickBot="1" x14ac:dyDescent="0.25">
      <c r="A78" s="104"/>
      <c r="B78" s="113"/>
      <c r="C78" s="114" t="s">
        <v>45</v>
      </c>
      <c r="D78" s="115">
        <v>0</v>
      </c>
      <c r="E78" s="115">
        <f>SUM(E77)</f>
        <v>382000</v>
      </c>
      <c r="F78" s="116">
        <f>SUM(F77)</f>
        <v>381150</v>
      </c>
    </row>
    <row r="79" spans="1:6" ht="14.25" x14ac:dyDescent="0.2">
      <c r="A79" s="117"/>
      <c r="B79" s="118">
        <v>6916</v>
      </c>
      <c r="C79" s="119" t="s">
        <v>81</v>
      </c>
      <c r="D79" s="120">
        <v>0</v>
      </c>
      <c r="E79" s="120">
        <f>1800000-1800000</f>
        <v>0</v>
      </c>
      <c r="F79" s="121">
        <v>0</v>
      </c>
    </row>
    <row r="80" spans="1:6" ht="14.25" x14ac:dyDescent="0.2">
      <c r="A80" s="117"/>
      <c r="B80" s="105">
        <v>3967</v>
      </c>
      <c r="C80" s="12" t="s">
        <v>82</v>
      </c>
      <c r="D80" s="107">
        <v>0</v>
      </c>
      <c r="E80" s="107">
        <v>2300000</v>
      </c>
      <c r="F80" s="108">
        <f>234838.22+1173784.96</f>
        <v>1408623.18</v>
      </c>
    </row>
    <row r="81" spans="1:6" ht="14.25" x14ac:dyDescent="0.2">
      <c r="A81" s="117"/>
      <c r="B81" s="122">
        <v>3968</v>
      </c>
      <c r="C81" s="123" t="s">
        <v>95</v>
      </c>
      <c r="D81" s="124">
        <v>0</v>
      </c>
      <c r="E81" s="124">
        <v>5000000</v>
      </c>
      <c r="F81" s="125">
        <f>567093.18+4432906.82</f>
        <v>5000000</v>
      </c>
    </row>
    <row r="82" spans="1:6" ht="15" thickBot="1" x14ac:dyDescent="0.25">
      <c r="A82" s="117"/>
      <c r="B82" s="109">
        <v>6917</v>
      </c>
      <c r="C82" s="110" t="s">
        <v>96</v>
      </c>
      <c r="D82" s="111">
        <v>0</v>
      </c>
      <c r="E82" s="111">
        <v>3629000</v>
      </c>
      <c r="F82" s="112">
        <f>359399.7+2960352.79</f>
        <v>3319752.49</v>
      </c>
    </row>
    <row r="83" spans="1:6" ht="15.75" thickTop="1" thickBot="1" x14ac:dyDescent="0.25">
      <c r="A83" s="104"/>
      <c r="B83" s="126"/>
      <c r="C83" s="127" t="s">
        <v>54</v>
      </c>
      <c r="D83" s="128">
        <v>0</v>
      </c>
      <c r="E83" s="128">
        <f>SUM(E79:E82)</f>
        <v>10929000</v>
      </c>
      <c r="F83" s="54">
        <f>SUM(F79:F82)</f>
        <v>9728375.6699999999</v>
      </c>
    </row>
    <row r="84" spans="1:6" ht="15" thickBot="1" x14ac:dyDescent="0.25">
      <c r="A84" s="104"/>
      <c r="B84" s="129"/>
      <c r="C84" s="130" t="s">
        <v>30</v>
      </c>
      <c r="D84" s="131">
        <f>SUM(D76)</f>
        <v>3416000</v>
      </c>
      <c r="E84" s="131">
        <f>SUM(E83,E78,E76)</f>
        <v>22922000</v>
      </c>
      <c r="F84" s="132">
        <f>SUM(F83,F78,F76)</f>
        <v>21720525.670000002</v>
      </c>
    </row>
    <row r="85" spans="1:6" ht="14.25" x14ac:dyDescent="0.2">
      <c r="A85" s="99" t="s">
        <v>11</v>
      </c>
      <c r="B85" s="118">
        <v>2629</v>
      </c>
      <c r="C85" s="119" t="s">
        <v>56</v>
      </c>
      <c r="D85" s="120">
        <v>0</v>
      </c>
      <c r="E85" s="120">
        <f>3042000-2000000</f>
        <v>1042000</v>
      </c>
      <c r="F85" s="121">
        <f>731764.43+310235.57</f>
        <v>1042000</v>
      </c>
    </row>
    <row r="86" spans="1:6" ht="14.25" x14ac:dyDescent="0.2">
      <c r="A86" s="104"/>
      <c r="B86" s="122">
        <v>3964</v>
      </c>
      <c r="C86" s="123" t="s">
        <v>84</v>
      </c>
      <c r="D86" s="124">
        <v>0</v>
      </c>
      <c r="E86" s="124">
        <f>629000-423000</f>
        <v>206000</v>
      </c>
      <c r="F86" s="125">
        <v>205820</v>
      </c>
    </row>
    <row r="87" spans="1:6" ht="14.25" x14ac:dyDescent="0.2">
      <c r="A87" s="104"/>
      <c r="B87" s="117">
        <v>6912</v>
      </c>
      <c r="C87" s="133" t="s">
        <v>85</v>
      </c>
      <c r="D87" s="134">
        <v>0</v>
      </c>
      <c r="E87" s="134">
        <v>2807000</v>
      </c>
      <c r="F87" s="135">
        <f>1373955+841772.8</f>
        <v>2215727.7999999998</v>
      </c>
    </row>
    <row r="88" spans="1:6" ht="14.25" x14ac:dyDescent="0.2">
      <c r="A88" s="104"/>
      <c r="B88" s="122">
        <v>1663</v>
      </c>
      <c r="C88" s="123" t="s">
        <v>97</v>
      </c>
      <c r="D88" s="124">
        <v>0</v>
      </c>
      <c r="E88" s="124">
        <v>642000</v>
      </c>
      <c r="F88" s="125">
        <f>52888.5+298662.51+289654.58</f>
        <v>641205.59000000008</v>
      </c>
    </row>
    <row r="89" spans="1:6" ht="15" thickBot="1" x14ac:dyDescent="0.25">
      <c r="A89" s="104"/>
      <c r="B89" s="117">
        <v>8779</v>
      </c>
      <c r="C89" s="11" t="s">
        <v>98</v>
      </c>
      <c r="D89" s="134">
        <v>0</v>
      </c>
      <c r="E89" s="134">
        <v>283000</v>
      </c>
      <c r="F89" s="135">
        <f>22330.7+3854.23+182399.36</f>
        <v>208584.28999999998</v>
      </c>
    </row>
    <row r="90" spans="1:6" ht="15.75" thickTop="1" thickBot="1" x14ac:dyDescent="0.25">
      <c r="A90" s="104"/>
      <c r="B90" s="113" t="s">
        <v>122</v>
      </c>
      <c r="C90" s="114" t="s">
        <v>54</v>
      </c>
      <c r="D90" s="115">
        <v>0</v>
      </c>
      <c r="E90" s="115">
        <f>SUM(E85:E89)</f>
        <v>4980000</v>
      </c>
      <c r="F90" s="116">
        <f>SUM(F85:F89)</f>
        <v>4313337.68</v>
      </c>
    </row>
    <row r="91" spans="1:6" ht="14.25" x14ac:dyDescent="0.2">
      <c r="A91" s="104"/>
      <c r="B91" s="100">
        <v>1661</v>
      </c>
      <c r="C91" s="101" t="s">
        <v>67</v>
      </c>
      <c r="D91" s="102">
        <v>0</v>
      </c>
      <c r="E91" s="102">
        <f>1017000-1017000</f>
        <v>0</v>
      </c>
      <c r="F91" s="103">
        <v>0</v>
      </c>
    </row>
    <row r="92" spans="1:6" ht="14.25" x14ac:dyDescent="0.2">
      <c r="A92" s="104"/>
      <c r="B92" s="105">
        <v>2633</v>
      </c>
      <c r="C92" s="106" t="s">
        <v>68</v>
      </c>
      <c r="D92" s="107">
        <v>0</v>
      </c>
      <c r="E92" s="107">
        <f>1050000-845000</f>
        <v>205000</v>
      </c>
      <c r="F92" s="108">
        <v>0</v>
      </c>
    </row>
    <row r="93" spans="1:6" ht="15" thickBot="1" x14ac:dyDescent="0.25">
      <c r="A93" s="104"/>
      <c r="B93" s="109">
        <v>6919</v>
      </c>
      <c r="C93" s="110" t="s">
        <v>108</v>
      </c>
      <c r="D93" s="111">
        <v>0</v>
      </c>
      <c r="E93" s="111">
        <v>719000</v>
      </c>
      <c r="F93" s="112">
        <v>0</v>
      </c>
    </row>
    <row r="94" spans="1:6" ht="15.75" thickTop="1" thickBot="1" x14ac:dyDescent="0.25">
      <c r="A94" s="104"/>
      <c r="B94" s="113"/>
      <c r="C94" s="114" t="s">
        <v>35</v>
      </c>
      <c r="D94" s="115">
        <v>0</v>
      </c>
      <c r="E94" s="115">
        <f>SUM(E91:E93)</f>
        <v>924000</v>
      </c>
      <c r="F94" s="116">
        <f>SUM(F91:F92)</f>
        <v>0</v>
      </c>
    </row>
    <row r="95" spans="1:6" ht="15" thickBot="1" x14ac:dyDescent="0.25">
      <c r="A95" s="126"/>
      <c r="B95" s="136"/>
      <c r="C95" s="130" t="s">
        <v>30</v>
      </c>
      <c r="D95" s="131">
        <v>0</v>
      </c>
      <c r="E95" s="131">
        <f>SUM(E90+E94)</f>
        <v>5904000</v>
      </c>
      <c r="F95" s="132">
        <f>SUM(F94,F90)</f>
        <v>4313337.68</v>
      </c>
    </row>
    <row r="96" spans="1:6" ht="14.25" x14ac:dyDescent="0.2">
      <c r="A96" s="104" t="s">
        <v>5</v>
      </c>
      <c r="B96" s="118">
        <v>3954</v>
      </c>
      <c r="C96" s="119" t="s">
        <v>47</v>
      </c>
      <c r="D96" s="120">
        <v>0</v>
      </c>
      <c r="E96" s="120">
        <f>1458000-955000</f>
        <v>503000</v>
      </c>
      <c r="F96" s="121">
        <f>232320+164200</f>
        <v>396520</v>
      </c>
    </row>
    <row r="97" spans="1:6" ht="15" thickBot="1" x14ac:dyDescent="0.25">
      <c r="A97" s="104"/>
      <c r="B97" s="137">
        <v>8772</v>
      </c>
      <c r="C97" s="138" t="s">
        <v>69</v>
      </c>
      <c r="D97" s="139">
        <v>0</v>
      </c>
      <c r="E97" s="139">
        <v>2000000</v>
      </c>
      <c r="F97" s="140">
        <v>2000000</v>
      </c>
    </row>
    <row r="98" spans="1:6" ht="15.75" thickTop="1" thickBot="1" x14ac:dyDescent="0.25">
      <c r="A98" s="104"/>
      <c r="B98" s="126"/>
      <c r="C98" s="127" t="s">
        <v>35</v>
      </c>
      <c r="D98" s="128">
        <v>0</v>
      </c>
      <c r="E98" s="128">
        <f>SUM(E96:E97)</f>
        <v>2503000</v>
      </c>
      <c r="F98" s="54">
        <f>SUM(F96:F97)</f>
        <v>2396520</v>
      </c>
    </row>
    <row r="99" spans="1:6" ht="15" thickBot="1" x14ac:dyDescent="0.25">
      <c r="A99" s="104"/>
      <c r="B99" s="141"/>
      <c r="C99" s="142" t="s">
        <v>71</v>
      </c>
      <c r="D99" s="143">
        <v>0</v>
      </c>
      <c r="E99" s="143">
        <v>471000</v>
      </c>
      <c r="F99" s="144">
        <v>0</v>
      </c>
    </row>
    <row r="100" spans="1:6" ht="15.75" thickTop="1" thickBot="1" x14ac:dyDescent="0.25">
      <c r="A100" s="104"/>
      <c r="B100" s="113"/>
      <c r="C100" s="114" t="s">
        <v>52</v>
      </c>
      <c r="D100" s="115">
        <v>0</v>
      </c>
      <c r="E100" s="115">
        <v>471000</v>
      </c>
      <c r="F100" s="116">
        <f>SUM(F99)</f>
        <v>0</v>
      </c>
    </row>
    <row r="101" spans="1:6" ht="14.25" x14ac:dyDescent="0.2">
      <c r="A101" s="117"/>
      <c r="B101" s="145">
        <v>3913</v>
      </c>
      <c r="C101" s="133" t="s">
        <v>86</v>
      </c>
      <c r="D101" s="134">
        <v>0</v>
      </c>
      <c r="E101" s="134">
        <f>5250000-4500000</f>
        <v>750000</v>
      </c>
      <c r="F101" s="135">
        <v>0</v>
      </c>
    </row>
    <row r="102" spans="1:6" ht="15" thickBot="1" x14ac:dyDescent="0.25">
      <c r="A102" s="117"/>
      <c r="B102" s="109">
        <v>3965</v>
      </c>
      <c r="C102" s="110" t="s">
        <v>87</v>
      </c>
      <c r="D102" s="111">
        <v>0</v>
      </c>
      <c r="E102" s="111">
        <v>115000</v>
      </c>
      <c r="F102" s="112">
        <v>106782.5</v>
      </c>
    </row>
    <row r="103" spans="1:6" ht="15.75" thickTop="1" thickBot="1" x14ac:dyDescent="0.25">
      <c r="A103" s="104"/>
      <c r="B103" s="113"/>
      <c r="C103" s="114" t="s">
        <v>54</v>
      </c>
      <c r="D103" s="115">
        <v>0</v>
      </c>
      <c r="E103" s="115">
        <f>SUM(E101:E102)</f>
        <v>865000</v>
      </c>
      <c r="F103" s="116">
        <f>SUM(F101:F102)</f>
        <v>106782.5</v>
      </c>
    </row>
    <row r="104" spans="1:6" ht="15" thickBot="1" x14ac:dyDescent="0.25">
      <c r="A104" s="117"/>
      <c r="B104" s="137"/>
      <c r="C104" s="138" t="s">
        <v>114</v>
      </c>
      <c r="D104" s="139">
        <v>0</v>
      </c>
      <c r="E104" s="139">
        <f>414000+822000</f>
        <v>1236000</v>
      </c>
      <c r="F104" s="140">
        <f>414000+821160.1</f>
        <v>1235160.1000000001</v>
      </c>
    </row>
    <row r="105" spans="1:6" ht="15.75" thickTop="1" thickBot="1" x14ac:dyDescent="0.25">
      <c r="A105" s="104"/>
      <c r="B105" s="113"/>
      <c r="C105" s="114" t="s">
        <v>117</v>
      </c>
      <c r="D105" s="115"/>
      <c r="E105" s="115">
        <f>SUM(E104)</f>
        <v>1236000</v>
      </c>
      <c r="F105" s="116">
        <f>SUM(F104)</f>
        <v>1235160.1000000001</v>
      </c>
    </row>
    <row r="106" spans="1:6" ht="15" thickBot="1" x14ac:dyDescent="0.25">
      <c r="A106" s="126"/>
      <c r="B106" s="136"/>
      <c r="C106" s="130" t="s">
        <v>30</v>
      </c>
      <c r="D106" s="131">
        <v>0</v>
      </c>
      <c r="E106" s="131">
        <f>SUM(E98+E100+E103+E105)</f>
        <v>5075000</v>
      </c>
      <c r="F106" s="131">
        <f t="shared" ref="F106" si="1">SUM(F98+F100+F103+F105)</f>
        <v>3738462.6</v>
      </c>
    </row>
    <row r="107" spans="1:6" ht="14.25" x14ac:dyDescent="0.2">
      <c r="A107" s="99" t="s">
        <v>2</v>
      </c>
      <c r="B107" s="100"/>
      <c r="C107" s="101" t="s">
        <v>46</v>
      </c>
      <c r="D107" s="102">
        <v>0</v>
      </c>
      <c r="E107" s="102">
        <v>5500000</v>
      </c>
      <c r="F107" s="103">
        <v>5500000</v>
      </c>
    </row>
    <row r="108" spans="1:6" ht="14.25" x14ac:dyDescent="0.2">
      <c r="A108" s="104"/>
      <c r="B108" s="122">
        <v>3962</v>
      </c>
      <c r="C108" s="123" t="s">
        <v>73</v>
      </c>
      <c r="D108" s="124">
        <v>0</v>
      </c>
      <c r="E108" s="124">
        <f>11000000-5918000</f>
        <v>5082000</v>
      </c>
      <c r="F108" s="125">
        <v>2061065.43</v>
      </c>
    </row>
    <row r="109" spans="1:6" ht="14.25" x14ac:dyDescent="0.2">
      <c r="A109" s="104"/>
      <c r="B109" s="105">
        <v>3972</v>
      </c>
      <c r="C109" s="106" t="s">
        <v>115</v>
      </c>
      <c r="D109" s="107">
        <v>0</v>
      </c>
      <c r="E109" s="107">
        <v>2564000</v>
      </c>
      <c r="F109" s="108">
        <v>2564000</v>
      </c>
    </row>
    <row r="110" spans="1:6" ht="14.25" x14ac:dyDescent="0.2">
      <c r="A110" s="104"/>
      <c r="B110" s="105"/>
      <c r="C110" s="106" t="s">
        <v>77</v>
      </c>
      <c r="D110" s="107">
        <v>0</v>
      </c>
      <c r="E110" s="107">
        <v>1500000</v>
      </c>
      <c r="F110" s="108">
        <v>1500000</v>
      </c>
    </row>
    <row r="111" spans="1:6" ht="14.25" x14ac:dyDescent="0.2">
      <c r="A111" s="104"/>
      <c r="B111" s="122">
        <v>8786</v>
      </c>
      <c r="C111" s="123" t="s">
        <v>119</v>
      </c>
      <c r="D111" s="124">
        <v>0</v>
      </c>
      <c r="E111" s="124">
        <v>4208000</v>
      </c>
      <c r="F111" s="125"/>
    </row>
    <row r="112" spans="1:6" ht="15" thickBot="1" x14ac:dyDescent="0.25">
      <c r="A112" s="104"/>
      <c r="B112" s="109">
        <v>8787</v>
      </c>
      <c r="C112" s="110" t="s">
        <v>120</v>
      </c>
      <c r="D112" s="111">
        <v>0</v>
      </c>
      <c r="E112" s="111">
        <v>3221000</v>
      </c>
      <c r="F112" s="112">
        <f>3221000-52813.12</f>
        <v>3168186.88</v>
      </c>
    </row>
    <row r="113" spans="1:6" ht="15.75" thickTop="1" thickBot="1" x14ac:dyDescent="0.25">
      <c r="A113" s="104"/>
      <c r="B113" s="146"/>
      <c r="C113" s="147" t="s">
        <v>35</v>
      </c>
      <c r="D113" s="148">
        <v>0</v>
      </c>
      <c r="E113" s="148">
        <f>SUM(E107:E112)</f>
        <v>22075000</v>
      </c>
      <c r="F113" s="149">
        <f>SUM(F107:F112)</f>
        <v>14793252.309999999</v>
      </c>
    </row>
    <row r="114" spans="1:6" ht="14.25" x14ac:dyDescent="0.2">
      <c r="A114" s="104"/>
      <c r="B114" s="150">
        <v>8763</v>
      </c>
      <c r="C114" s="101" t="s">
        <v>118</v>
      </c>
      <c r="D114" s="102">
        <v>0</v>
      </c>
      <c r="E114" s="102">
        <v>1404000</v>
      </c>
      <c r="F114" s="103">
        <f>844149.29+242843.8+316801.67</f>
        <v>1403794.76</v>
      </c>
    </row>
    <row r="115" spans="1:6" ht="14.25" x14ac:dyDescent="0.2">
      <c r="A115" s="104"/>
      <c r="B115" s="105">
        <v>1662</v>
      </c>
      <c r="C115" s="106" t="s">
        <v>88</v>
      </c>
      <c r="D115" s="107">
        <v>0</v>
      </c>
      <c r="E115" s="107">
        <v>2750000</v>
      </c>
      <c r="F115" s="108">
        <f>396348.55+985544.12+234208.91+932819.56+201078.86</f>
        <v>2749999.9999999995</v>
      </c>
    </row>
    <row r="116" spans="1:6" ht="15" thickBot="1" x14ac:dyDescent="0.25">
      <c r="A116" s="104"/>
      <c r="B116" s="109">
        <v>8786</v>
      </c>
      <c r="C116" s="110" t="s">
        <v>119</v>
      </c>
      <c r="D116" s="111">
        <v>0</v>
      </c>
      <c r="E116" s="111">
        <v>3792000</v>
      </c>
      <c r="F116" s="112">
        <f>2361412.03</f>
        <v>2361412.0299999998</v>
      </c>
    </row>
    <row r="117" spans="1:6" ht="15.75" thickTop="1" thickBot="1" x14ac:dyDescent="0.25">
      <c r="A117" s="104"/>
      <c r="B117" s="151"/>
      <c r="C117" s="127" t="s">
        <v>54</v>
      </c>
      <c r="D117" s="128"/>
      <c r="E117" s="128">
        <f>SUM(E114:E116)</f>
        <v>7946000</v>
      </c>
      <c r="F117" s="54">
        <f>SUM(F114:F116)</f>
        <v>6515206.7899999991</v>
      </c>
    </row>
    <row r="118" spans="1:6" ht="15" thickBot="1" x14ac:dyDescent="0.25">
      <c r="A118" s="126"/>
      <c r="B118" s="136"/>
      <c r="C118" s="130" t="s">
        <v>30</v>
      </c>
      <c r="D118" s="131"/>
      <c r="E118" s="131">
        <f>SUM(E113+E117)</f>
        <v>30021000</v>
      </c>
      <c r="F118" s="132">
        <f>SUM(F117,F113)</f>
        <v>21308459.099999998</v>
      </c>
    </row>
    <row r="119" spans="1:6" ht="15" thickBot="1" x14ac:dyDescent="0.25">
      <c r="A119" s="104" t="s">
        <v>7</v>
      </c>
      <c r="B119" s="141">
        <v>3955</v>
      </c>
      <c r="C119" s="142" t="s">
        <v>48</v>
      </c>
      <c r="D119" s="143">
        <v>0</v>
      </c>
      <c r="E119" s="143">
        <v>87000</v>
      </c>
      <c r="F119" s="144">
        <f>86575.5</f>
        <v>86575.5</v>
      </c>
    </row>
    <row r="120" spans="1:6" ht="15.75" thickTop="1" thickBot="1" x14ac:dyDescent="0.25">
      <c r="A120" s="104"/>
      <c r="B120" s="113"/>
      <c r="C120" s="114" t="s">
        <v>35</v>
      </c>
      <c r="D120" s="115">
        <v>0</v>
      </c>
      <c r="E120" s="115">
        <f>SUM(E119)</f>
        <v>87000</v>
      </c>
      <c r="F120" s="116">
        <f>SUM(F119)</f>
        <v>86575.5</v>
      </c>
    </row>
    <row r="121" spans="1:6" ht="15" thickBot="1" x14ac:dyDescent="0.25">
      <c r="A121" s="117"/>
      <c r="B121" s="141">
        <v>3955</v>
      </c>
      <c r="C121" s="142" t="s">
        <v>48</v>
      </c>
      <c r="D121" s="143">
        <v>0</v>
      </c>
      <c r="E121" s="143">
        <v>2649000</v>
      </c>
      <c r="F121" s="144">
        <v>2378628.65</v>
      </c>
    </row>
    <row r="122" spans="1:6" ht="15.75" thickTop="1" thickBot="1" x14ac:dyDescent="0.25">
      <c r="A122" s="104"/>
      <c r="B122" s="126"/>
      <c r="C122" s="127" t="s">
        <v>54</v>
      </c>
      <c r="D122" s="128">
        <v>0</v>
      </c>
      <c r="E122" s="128">
        <f>SUM(E121)</f>
        <v>2649000</v>
      </c>
      <c r="F122" s="54">
        <f>SUM(F121)</f>
        <v>2378628.65</v>
      </c>
    </row>
    <row r="123" spans="1:6" ht="15" thickBot="1" x14ac:dyDescent="0.25">
      <c r="A123" s="126"/>
      <c r="B123" s="152"/>
      <c r="C123" s="153" t="s">
        <v>30</v>
      </c>
      <c r="D123" s="154">
        <v>0</v>
      </c>
      <c r="E123" s="154">
        <f>SUM(E120+E122)</f>
        <v>2736000</v>
      </c>
      <c r="F123" s="155">
        <f>SUM(F122,F120)</f>
        <v>2465204.15</v>
      </c>
    </row>
    <row r="124" spans="1:6" ht="14.25" x14ac:dyDescent="0.2">
      <c r="A124" s="99" t="s">
        <v>14</v>
      </c>
      <c r="B124" s="100"/>
      <c r="C124" s="101" t="s">
        <v>37</v>
      </c>
      <c r="D124" s="102">
        <v>900000</v>
      </c>
      <c r="E124" s="102">
        <f>900000-900000</f>
        <v>0</v>
      </c>
      <c r="F124" s="103">
        <v>0</v>
      </c>
    </row>
    <row r="125" spans="1:6" ht="14.25" x14ac:dyDescent="0.2">
      <c r="A125" s="104"/>
      <c r="B125" s="122"/>
      <c r="C125" s="123" t="s">
        <v>42</v>
      </c>
      <c r="D125" s="124">
        <v>0</v>
      </c>
      <c r="E125" s="124">
        <v>1000000</v>
      </c>
      <c r="F125" s="125">
        <f>104000+65000+106560+60000</f>
        <v>335560</v>
      </c>
    </row>
    <row r="126" spans="1:6" ht="15" thickBot="1" x14ac:dyDescent="0.25">
      <c r="A126" s="104"/>
      <c r="B126" s="117">
        <v>3956</v>
      </c>
      <c r="C126" s="133" t="s">
        <v>49</v>
      </c>
      <c r="D126" s="134">
        <v>0</v>
      </c>
      <c r="E126" s="134">
        <v>1280000</v>
      </c>
      <c r="F126" s="135">
        <v>1280000</v>
      </c>
    </row>
    <row r="127" spans="1:6" ht="15.75" thickTop="1" thickBot="1" x14ac:dyDescent="0.25">
      <c r="A127" s="104"/>
      <c r="B127" s="113"/>
      <c r="C127" s="114" t="s">
        <v>35</v>
      </c>
      <c r="D127" s="115">
        <v>900000</v>
      </c>
      <c r="E127" s="115">
        <f>SUM(E124:E126)</f>
        <v>2280000</v>
      </c>
      <c r="F127" s="116">
        <f>SUM(F124:F126)</f>
        <v>1615560</v>
      </c>
    </row>
    <row r="128" spans="1:6" ht="15" thickBot="1" x14ac:dyDescent="0.25">
      <c r="A128" s="117"/>
      <c r="B128" s="141">
        <v>3956</v>
      </c>
      <c r="C128" s="142" t="s">
        <v>49</v>
      </c>
      <c r="D128" s="143">
        <v>0</v>
      </c>
      <c r="E128" s="143">
        <v>985000</v>
      </c>
      <c r="F128" s="144">
        <f>278346+701584.82</f>
        <v>979930.82</v>
      </c>
    </row>
    <row r="129" spans="1:6" ht="15.75" thickTop="1" thickBot="1" x14ac:dyDescent="0.25">
      <c r="A129" s="104"/>
      <c r="B129" s="126"/>
      <c r="C129" s="127" t="s">
        <v>50</v>
      </c>
      <c r="D129" s="128">
        <v>0</v>
      </c>
      <c r="E129" s="128">
        <f>SUM(E128)</f>
        <v>985000</v>
      </c>
      <c r="F129" s="54">
        <f>SUM(F128)</f>
        <v>979930.82</v>
      </c>
    </row>
    <row r="130" spans="1:6" ht="15" thickBot="1" x14ac:dyDescent="0.25">
      <c r="A130" s="126"/>
      <c r="B130" s="152"/>
      <c r="C130" s="153" t="s">
        <v>30</v>
      </c>
      <c r="D130" s="154">
        <f>SUM(D127)</f>
        <v>900000</v>
      </c>
      <c r="E130" s="154">
        <f>SUM(E129,E127)</f>
        <v>3265000</v>
      </c>
      <c r="F130" s="155">
        <f>SUM(F129,F127)</f>
        <v>2595490.8199999998</v>
      </c>
    </row>
    <row r="131" spans="1:6" ht="14.25" x14ac:dyDescent="0.2">
      <c r="A131" s="104" t="s">
        <v>17</v>
      </c>
      <c r="B131" s="100"/>
      <c r="C131" s="101" t="s">
        <v>43</v>
      </c>
      <c r="D131" s="102">
        <v>0</v>
      </c>
      <c r="E131" s="102">
        <v>200000</v>
      </c>
      <c r="F131" s="103">
        <f>150000+50000</f>
        <v>200000</v>
      </c>
    </row>
    <row r="132" spans="1:6" ht="15" thickBot="1" x14ac:dyDescent="0.25">
      <c r="A132" s="104"/>
      <c r="B132" s="109"/>
      <c r="C132" s="110" t="s">
        <v>101</v>
      </c>
      <c r="D132" s="111">
        <v>0</v>
      </c>
      <c r="E132" s="111">
        <v>48000</v>
      </c>
      <c r="F132" s="112">
        <v>47580</v>
      </c>
    </row>
    <row r="133" spans="1:6" ht="15.75" thickTop="1" thickBot="1" x14ac:dyDescent="0.25">
      <c r="A133" s="104"/>
      <c r="B133" s="113"/>
      <c r="C133" s="114" t="s">
        <v>35</v>
      </c>
      <c r="D133" s="115">
        <v>0</v>
      </c>
      <c r="E133" s="115">
        <f>SUM(E131:E132)</f>
        <v>248000</v>
      </c>
      <c r="F133" s="116">
        <f>SUM(F131:F132)</f>
        <v>247580</v>
      </c>
    </row>
    <row r="134" spans="1:6" ht="15" thickBot="1" x14ac:dyDescent="0.25">
      <c r="A134" s="126"/>
      <c r="B134" s="170"/>
      <c r="C134" s="171" t="s">
        <v>70</v>
      </c>
      <c r="D134" s="172">
        <v>0</v>
      </c>
      <c r="E134" s="172">
        <v>1425000</v>
      </c>
      <c r="F134" s="173">
        <f>1086800+337700</f>
        <v>1424500</v>
      </c>
    </row>
    <row r="135" spans="1:6" ht="15" thickBot="1" x14ac:dyDescent="0.25">
      <c r="A135" s="99"/>
      <c r="B135" s="164"/>
      <c r="C135" s="174" t="s">
        <v>50</v>
      </c>
      <c r="D135" s="175">
        <v>0</v>
      </c>
      <c r="E135" s="175">
        <f>SUM(E134)</f>
        <v>1425000</v>
      </c>
      <c r="F135" s="176">
        <f>SUM(F134)</f>
        <v>1424500</v>
      </c>
    </row>
    <row r="136" spans="1:6" ht="15" thickBot="1" x14ac:dyDescent="0.25">
      <c r="A136" s="126"/>
      <c r="B136" s="152"/>
      <c r="C136" s="153" t="s">
        <v>30</v>
      </c>
      <c r="D136" s="154">
        <v>0</v>
      </c>
      <c r="E136" s="154">
        <f>SUM(E133+E135)</f>
        <v>1673000</v>
      </c>
      <c r="F136" s="155">
        <f>SUM(F135,F133)</f>
        <v>1672080</v>
      </c>
    </row>
    <row r="137" spans="1:6" ht="14.25" x14ac:dyDescent="0.2">
      <c r="A137" s="104" t="s">
        <v>18</v>
      </c>
      <c r="B137" s="100">
        <v>3957</v>
      </c>
      <c r="C137" s="101" t="s">
        <v>59</v>
      </c>
      <c r="D137" s="102">
        <v>0</v>
      </c>
      <c r="E137" s="102">
        <f>1347000-745000</f>
        <v>602000</v>
      </c>
      <c r="F137" s="103">
        <f>601370</f>
        <v>601370</v>
      </c>
    </row>
    <row r="138" spans="1:6" ht="14.25" x14ac:dyDescent="0.2">
      <c r="A138" s="104"/>
      <c r="B138" s="105">
        <v>3963</v>
      </c>
      <c r="C138" s="106" t="s">
        <v>74</v>
      </c>
      <c r="D138" s="107">
        <v>0</v>
      </c>
      <c r="E138" s="107">
        <f>2660000-910000</f>
        <v>1750000</v>
      </c>
      <c r="F138" s="108">
        <f>852533.81</f>
        <v>852533.81</v>
      </c>
    </row>
    <row r="139" spans="1:6" ht="15" thickBot="1" x14ac:dyDescent="0.25">
      <c r="A139" s="104"/>
      <c r="B139" s="109"/>
      <c r="C139" s="110" t="s">
        <v>79</v>
      </c>
      <c r="D139" s="111">
        <v>0</v>
      </c>
      <c r="E139" s="111">
        <v>370000</v>
      </c>
      <c r="F139" s="112">
        <v>330263.55</v>
      </c>
    </row>
    <row r="140" spans="1:6" ht="15.75" thickTop="1" thickBot="1" x14ac:dyDescent="0.25">
      <c r="A140" s="104"/>
      <c r="B140" s="126"/>
      <c r="C140" s="127" t="s">
        <v>35</v>
      </c>
      <c r="D140" s="128">
        <v>0</v>
      </c>
      <c r="E140" s="128">
        <f>SUM(E137:E139)</f>
        <v>2722000</v>
      </c>
      <c r="F140" s="54">
        <f>SUM(F137:F139)</f>
        <v>1784167.36</v>
      </c>
    </row>
    <row r="141" spans="1:6" ht="14.25" x14ac:dyDescent="0.2">
      <c r="A141" s="117"/>
      <c r="B141" s="117">
        <v>3970</v>
      </c>
      <c r="C141" s="133" t="s">
        <v>102</v>
      </c>
      <c r="D141" s="134">
        <v>0</v>
      </c>
      <c r="E141" s="134">
        <f>4030000-2356000</f>
        <v>1674000</v>
      </c>
      <c r="F141" s="135">
        <v>1674000</v>
      </c>
    </row>
    <row r="142" spans="1:6" ht="15" thickBot="1" x14ac:dyDescent="0.25">
      <c r="A142" s="117"/>
      <c r="B142" s="109">
        <v>8780</v>
      </c>
      <c r="C142" s="110" t="s">
        <v>103</v>
      </c>
      <c r="D142" s="111">
        <v>0</v>
      </c>
      <c r="E142" s="111">
        <f>7988000-7200000</f>
        <v>788000</v>
      </c>
      <c r="F142" s="112"/>
    </row>
    <row r="143" spans="1:6" ht="15.75" thickTop="1" thickBot="1" x14ac:dyDescent="0.25">
      <c r="A143" s="104"/>
      <c r="B143" s="113"/>
      <c r="C143" s="114" t="s">
        <v>54</v>
      </c>
      <c r="D143" s="115">
        <v>0</v>
      </c>
      <c r="E143" s="115">
        <f>SUM(E141:E142)</f>
        <v>2462000</v>
      </c>
      <c r="F143" s="116">
        <f>SUM(F141:F142)</f>
        <v>1674000</v>
      </c>
    </row>
    <row r="144" spans="1:6" ht="15" thickBot="1" x14ac:dyDescent="0.25">
      <c r="A144" s="104"/>
      <c r="B144" s="129"/>
      <c r="C144" s="130" t="s">
        <v>30</v>
      </c>
      <c r="D144" s="131">
        <v>0</v>
      </c>
      <c r="E144" s="131">
        <f>SUM(E140+E143)</f>
        <v>5184000</v>
      </c>
      <c r="F144" s="132">
        <f>SUM(F143,F140)</f>
        <v>3458167.3600000003</v>
      </c>
    </row>
    <row r="145" spans="1:6" ht="14.25" x14ac:dyDescent="0.2">
      <c r="A145" s="99" t="s">
        <v>4</v>
      </c>
      <c r="B145" s="100">
        <v>6902</v>
      </c>
      <c r="C145" s="101" t="s">
        <v>38</v>
      </c>
      <c r="D145" s="102">
        <v>17000000</v>
      </c>
      <c r="E145" s="102">
        <f>17000000+1324000-107000</f>
        <v>18217000</v>
      </c>
      <c r="F145" s="103">
        <f>SUM(2367172.16+2404686.23+998089.82+1880870.46+20000+2040817.07+1971096.09+2278024.34+2049958.53+45000+2161285.3)</f>
        <v>18217000</v>
      </c>
    </row>
    <row r="146" spans="1:6" ht="15" thickBot="1" x14ac:dyDescent="0.25">
      <c r="A146" s="104"/>
      <c r="B146" s="109">
        <v>6909</v>
      </c>
      <c r="C146" s="110" t="s">
        <v>61</v>
      </c>
      <c r="D146" s="111">
        <v>0</v>
      </c>
      <c r="E146" s="111">
        <f>2000000+5587000</f>
        <v>7587000</v>
      </c>
      <c r="F146" s="112">
        <f>628535.47+908331.15+1378559.17+2577596.33+10000+2034549.29+15000</f>
        <v>7552571.4100000001</v>
      </c>
    </row>
    <row r="147" spans="1:6" ht="15.75" thickTop="1" thickBot="1" x14ac:dyDescent="0.25">
      <c r="A147" s="104"/>
      <c r="B147" s="113"/>
      <c r="C147" s="114" t="s">
        <v>35</v>
      </c>
      <c r="D147" s="115">
        <f>SUM(D145)</f>
        <v>17000000</v>
      </c>
      <c r="E147" s="115">
        <f>SUM(E145:E146)</f>
        <v>25804000</v>
      </c>
      <c r="F147" s="116">
        <f>SUM(F145:F146)</f>
        <v>25769571.41</v>
      </c>
    </row>
    <row r="148" spans="1:6" ht="15" thickBot="1" x14ac:dyDescent="0.25">
      <c r="A148" s="104"/>
      <c r="B148" s="156"/>
      <c r="C148" s="13" t="s">
        <v>72</v>
      </c>
      <c r="D148" s="143">
        <v>0</v>
      </c>
      <c r="E148" s="143">
        <v>138000</v>
      </c>
      <c r="F148" s="144">
        <v>123608</v>
      </c>
    </row>
    <row r="149" spans="1:6" ht="15.75" thickTop="1" thickBot="1" x14ac:dyDescent="0.25">
      <c r="A149" s="104"/>
      <c r="B149" s="126"/>
      <c r="C149" s="127" t="s">
        <v>52</v>
      </c>
      <c r="D149" s="128">
        <v>0</v>
      </c>
      <c r="E149" s="128">
        <f>SUM(E148)</f>
        <v>138000</v>
      </c>
      <c r="F149" s="54">
        <f>SUM(F148)</f>
        <v>123608</v>
      </c>
    </row>
    <row r="150" spans="1:6" ht="15" thickBot="1" x14ac:dyDescent="0.25">
      <c r="A150" s="126"/>
      <c r="B150" s="152"/>
      <c r="C150" s="153" t="s">
        <v>30</v>
      </c>
      <c r="D150" s="154">
        <f t="shared" ref="D150" si="2">SUM(D147)</f>
        <v>17000000</v>
      </c>
      <c r="E150" s="154">
        <f>SUM(E149,E147)</f>
        <v>25942000</v>
      </c>
      <c r="F150" s="155">
        <f>SUM(F147+F149)</f>
        <v>25893179.41</v>
      </c>
    </row>
    <row r="151" spans="1:6" ht="14.25" x14ac:dyDescent="0.2">
      <c r="A151" s="99" t="s">
        <v>8</v>
      </c>
      <c r="B151" s="100"/>
      <c r="C151" s="101" t="s">
        <v>62</v>
      </c>
      <c r="D151" s="102">
        <v>0</v>
      </c>
      <c r="E151" s="102">
        <v>400000</v>
      </c>
      <c r="F151" s="103">
        <f>60000+333492</f>
        <v>393492</v>
      </c>
    </row>
    <row r="152" spans="1:6" ht="14.25" x14ac:dyDescent="0.2">
      <c r="A152" s="104"/>
      <c r="B152" s="105">
        <v>8773</v>
      </c>
      <c r="C152" s="106" t="s">
        <v>75</v>
      </c>
      <c r="D152" s="107">
        <v>0</v>
      </c>
      <c r="E152" s="107">
        <v>3000000</v>
      </c>
      <c r="F152" s="108">
        <f>1265815.97+1734184.03</f>
        <v>3000000</v>
      </c>
    </row>
    <row r="153" spans="1:6" ht="15" thickBot="1" x14ac:dyDescent="0.25">
      <c r="A153" s="104"/>
      <c r="B153" s="109">
        <v>7600</v>
      </c>
      <c r="C153" s="110" t="s">
        <v>100</v>
      </c>
      <c r="D153" s="111">
        <v>0</v>
      </c>
      <c r="E153" s="111">
        <f>5770000-5770000</f>
        <v>0</v>
      </c>
      <c r="F153" s="112"/>
    </row>
    <row r="154" spans="1:6" ht="15.75" thickTop="1" thickBot="1" x14ac:dyDescent="0.25">
      <c r="A154" s="104"/>
      <c r="B154" s="113"/>
      <c r="C154" s="114" t="s">
        <v>35</v>
      </c>
      <c r="D154" s="115">
        <v>0</v>
      </c>
      <c r="E154" s="115">
        <f>SUM(E151:E153)</f>
        <v>3400000</v>
      </c>
      <c r="F154" s="116">
        <f>SUM(F151:F153)</f>
        <v>3393492</v>
      </c>
    </row>
    <row r="155" spans="1:6" ht="15" thickBot="1" x14ac:dyDescent="0.25">
      <c r="A155" s="117"/>
      <c r="B155" s="141">
        <v>3966</v>
      </c>
      <c r="C155" s="142" t="s">
        <v>89</v>
      </c>
      <c r="D155" s="143">
        <v>0</v>
      </c>
      <c r="E155" s="143">
        <f>1800000-1800000</f>
        <v>0</v>
      </c>
      <c r="F155" s="144">
        <v>0</v>
      </c>
    </row>
    <row r="156" spans="1:6" ht="15.75" thickTop="1" thickBot="1" x14ac:dyDescent="0.25">
      <c r="A156" s="104"/>
      <c r="B156" s="126"/>
      <c r="C156" s="127" t="s">
        <v>94</v>
      </c>
      <c r="D156" s="128">
        <v>0</v>
      </c>
      <c r="E156" s="128">
        <f>SUM(E155)</f>
        <v>0</v>
      </c>
      <c r="F156" s="54">
        <f>SUM(F155)</f>
        <v>0</v>
      </c>
    </row>
    <row r="157" spans="1:6" ht="15" thickBot="1" x14ac:dyDescent="0.25">
      <c r="A157" s="126"/>
      <c r="B157" s="152"/>
      <c r="C157" s="153" t="s">
        <v>30</v>
      </c>
      <c r="D157" s="154">
        <v>0</v>
      </c>
      <c r="E157" s="154">
        <f>SUM(E154+E156)</f>
        <v>3400000</v>
      </c>
      <c r="F157" s="155">
        <f>SUM(F156,F154)</f>
        <v>3393492</v>
      </c>
    </row>
    <row r="158" spans="1:6" ht="14.25" x14ac:dyDescent="0.2">
      <c r="A158" s="104" t="s">
        <v>6</v>
      </c>
      <c r="B158" s="117"/>
      <c r="C158" s="133" t="s">
        <v>57</v>
      </c>
      <c r="D158" s="134">
        <v>0</v>
      </c>
      <c r="E158" s="134">
        <f>522000-25000</f>
        <v>497000</v>
      </c>
      <c r="F158" s="135">
        <f>473783-24200</f>
        <v>449583</v>
      </c>
    </row>
    <row r="159" spans="1:6" ht="15" thickBot="1" x14ac:dyDescent="0.25">
      <c r="A159" s="104"/>
      <c r="B159" s="109"/>
      <c r="C159" s="110" t="s">
        <v>80</v>
      </c>
      <c r="D159" s="111">
        <v>0</v>
      </c>
      <c r="E159" s="111">
        <v>501000</v>
      </c>
      <c r="F159" s="112">
        <v>500850</v>
      </c>
    </row>
    <row r="160" spans="1:6" ht="15.75" thickTop="1" thickBot="1" x14ac:dyDescent="0.25">
      <c r="A160" s="104"/>
      <c r="B160" s="126"/>
      <c r="C160" s="127" t="s">
        <v>35</v>
      </c>
      <c r="D160" s="128">
        <v>0</v>
      </c>
      <c r="E160" s="128">
        <f>SUM(E158:E159)</f>
        <v>998000</v>
      </c>
      <c r="F160" s="54">
        <f>SUM(F158:F159)</f>
        <v>950433</v>
      </c>
    </row>
    <row r="161" spans="1:6" ht="15" thickBot="1" x14ac:dyDescent="0.25">
      <c r="A161" s="117"/>
      <c r="B161" s="141">
        <v>8782</v>
      </c>
      <c r="C161" s="13" t="s">
        <v>113</v>
      </c>
      <c r="D161" s="143">
        <v>0</v>
      </c>
      <c r="E161" s="143">
        <v>990000</v>
      </c>
      <c r="F161" s="144">
        <v>858312.29</v>
      </c>
    </row>
    <row r="162" spans="1:6" ht="15.75" thickTop="1" thickBot="1" x14ac:dyDescent="0.25">
      <c r="A162" s="104"/>
      <c r="B162" s="113"/>
      <c r="C162" s="114" t="s">
        <v>54</v>
      </c>
      <c r="D162" s="115">
        <v>0</v>
      </c>
      <c r="E162" s="115">
        <v>990000</v>
      </c>
      <c r="F162" s="116">
        <f>SUM(F161)</f>
        <v>858312.29</v>
      </c>
    </row>
    <row r="163" spans="1:6" ht="15" thickBot="1" x14ac:dyDescent="0.25">
      <c r="A163" s="104"/>
      <c r="B163" s="129"/>
      <c r="C163" s="130" t="s">
        <v>30</v>
      </c>
      <c r="D163" s="131">
        <v>0</v>
      </c>
      <c r="E163" s="131">
        <f>SUM(E160+E162)</f>
        <v>1988000</v>
      </c>
      <c r="F163" s="132">
        <f>SUM(F162,F160)</f>
        <v>1808745.29</v>
      </c>
    </row>
    <row r="164" spans="1:6" ht="14.25" x14ac:dyDescent="0.2">
      <c r="A164" s="99" t="s">
        <v>9</v>
      </c>
      <c r="B164" s="118">
        <v>8766</v>
      </c>
      <c r="C164" s="119" t="s">
        <v>91</v>
      </c>
      <c r="D164" s="120">
        <v>0</v>
      </c>
      <c r="E164" s="120">
        <v>822000</v>
      </c>
      <c r="F164" s="121">
        <v>822000</v>
      </c>
    </row>
    <row r="165" spans="1:6" ht="15" thickBot="1" x14ac:dyDescent="0.25">
      <c r="A165" s="104"/>
      <c r="B165" s="117">
        <v>8777</v>
      </c>
      <c r="C165" s="133" t="s">
        <v>90</v>
      </c>
      <c r="D165" s="134">
        <v>0</v>
      </c>
      <c r="E165" s="134">
        <f>424000-424000</f>
        <v>0</v>
      </c>
      <c r="F165" s="135">
        <v>0</v>
      </c>
    </row>
    <row r="166" spans="1:6" ht="15.75" thickTop="1" thickBot="1" x14ac:dyDescent="0.25">
      <c r="A166" s="104"/>
      <c r="B166" s="113"/>
      <c r="C166" s="114" t="s">
        <v>54</v>
      </c>
      <c r="D166" s="115">
        <v>0</v>
      </c>
      <c r="E166" s="115">
        <f>SUM(E164:E165)</f>
        <v>822000</v>
      </c>
      <c r="F166" s="116">
        <f>SUM(F164:F165)</f>
        <v>822000</v>
      </c>
    </row>
    <row r="167" spans="1:6" ht="14.25" x14ac:dyDescent="0.2">
      <c r="A167" s="104"/>
      <c r="B167" s="118">
        <v>8784</v>
      </c>
      <c r="C167" s="31" t="s">
        <v>111</v>
      </c>
      <c r="D167" s="120">
        <v>0</v>
      </c>
      <c r="E167" s="120">
        <v>488000</v>
      </c>
      <c r="F167" s="121">
        <v>0</v>
      </c>
    </row>
    <row r="168" spans="1:6" ht="15" thickBot="1" x14ac:dyDescent="0.25">
      <c r="A168" s="104"/>
      <c r="B168" s="109">
        <v>8785</v>
      </c>
      <c r="C168" s="110" t="s">
        <v>112</v>
      </c>
      <c r="D168" s="111">
        <v>0</v>
      </c>
      <c r="E168" s="111">
        <f>257000-257000</f>
        <v>0</v>
      </c>
      <c r="F168" s="112">
        <v>0</v>
      </c>
    </row>
    <row r="169" spans="1:6" ht="15.75" thickTop="1" thickBot="1" x14ac:dyDescent="0.25">
      <c r="A169" s="104"/>
      <c r="B169" s="113"/>
      <c r="C169" s="157" t="s">
        <v>35</v>
      </c>
      <c r="D169" s="128">
        <v>0</v>
      </c>
      <c r="E169" s="128">
        <f>SUM(E167:E168)</f>
        <v>488000</v>
      </c>
      <c r="F169" s="54">
        <f>SUM(F167:F168)</f>
        <v>0</v>
      </c>
    </row>
    <row r="170" spans="1:6" ht="15" thickBot="1" x14ac:dyDescent="0.25">
      <c r="A170" s="104"/>
      <c r="B170" s="141">
        <v>8784</v>
      </c>
      <c r="C170" s="34" t="s">
        <v>111</v>
      </c>
      <c r="D170" s="143">
        <v>0</v>
      </c>
      <c r="E170" s="143">
        <v>600000</v>
      </c>
      <c r="F170" s="144">
        <v>0</v>
      </c>
    </row>
    <row r="171" spans="1:6" ht="15.75" thickTop="1" thickBot="1" x14ac:dyDescent="0.25">
      <c r="A171" s="104"/>
      <c r="B171" s="126"/>
      <c r="C171" s="127" t="s">
        <v>50</v>
      </c>
      <c r="D171" s="128">
        <v>0</v>
      </c>
      <c r="E171" s="128">
        <v>600000</v>
      </c>
      <c r="F171" s="54">
        <f>SUM(F170)</f>
        <v>0</v>
      </c>
    </row>
    <row r="172" spans="1:6" ht="15" thickBot="1" x14ac:dyDescent="0.25">
      <c r="A172" s="126"/>
      <c r="B172" s="152"/>
      <c r="C172" s="153" t="s">
        <v>30</v>
      </c>
      <c r="D172" s="154">
        <v>0</v>
      </c>
      <c r="E172" s="154">
        <f>SUM(E166+E169+E171)</f>
        <v>1910000</v>
      </c>
      <c r="F172" s="155">
        <f>SUM(F166)</f>
        <v>822000</v>
      </c>
    </row>
    <row r="173" spans="1:6" ht="14.25" x14ac:dyDescent="0.2">
      <c r="A173" s="99" t="s">
        <v>13</v>
      </c>
      <c r="B173" s="100">
        <v>3946</v>
      </c>
      <c r="C173" s="101" t="s">
        <v>40</v>
      </c>
      <c r="D173" s="102">
        <v>0</v>
      </c>
      <c r="E173" s="102">
        <f>146000-146000</f>
        <v>0</v>
      </c>
      <c r="F173" s="103">
        <v>0</v>
      </c>
    </row>
    <row r="174" spans="1:6" ht="14.25" x14ac:dyDescent="0.2">
      <c r="A174" s="104"/>
      <c r="B174" s="105"/>
      <c r="C174" s="106" t="s">
        <v>41</v>
      </c>
      <c r="D174" s="107">
        <v>0</v>
      </c>
      <c r="E174" s="107">
        <v>183000</v>
      </c>
      <c r="F174" s="108">
        <v>183000</v>
      </c>
    </row>
    <row r="175" spans="1:6" ht="15" thickBot="1" x14ac:dyDescent="0.25">
      <c r="A175" s="104"/>
      <c r="B175" s="109">
        <v>8770</v>
      </c>
      <c r="C175" s="110" t="s">
        <v>63</v>
      </c>
      <c r="D175" s="111">
        <v>0</v>
      </c>
      <c r="E175" s="111">
        <f>515000-515000</f>
        <v>0</v>
      </c>
      <c r="F175" s="112">
        <v>0</v>
      </c>
    </row>
    <row r="176" spans="1:6" ht="15.75" thickTop="1" thickBot="1" x14ac:dyDescent="0.25">
      <c r="A176" s="104"/>
      <c r="B176" s="113"/>
      <c r="C176" s="114" t="s">
        <v>35</v>
      </c>
      <c r="D176" s="115">
        <v>0</v>
      </c>
      <c r="E176" s="115">
        <f>SUM(E173:E175)</f>
        <v>183000</v>
      </c>
      <c r="F176" s="116">
        <f>SUM(F173:F175)</f>
        <v>183000</v>
      </c>
    </row>
    <row r="177" spans="1:6" ht="15" thickBot="1" x14ac:dyDescent="0.25">
      <c r="A177" s="104"/>
      <c r="B177" s="152"/>
      <c r="C177" s="153" t="s">
        <v>30</v>
      </c>
      <c r="D177" s="154">
        <v>0</v>
      </c>
      <c r="E177" s="154">
        <f>SUM(E176)</f>
        <v>183000</v>
      </c>
      <c r="F177" s="155">
        <f>SUM(F176)</f>
        <v>183000</v>
      </c>
    </row>
    <row r="178" spans="1:6" ht="15" thickBot="1" x14ac:dyDescent="0.25">
      <c r="A178" s="99" t="s">
        <v>22</v>
      </c>
      <c r="B178" s="158"/>
      <c r="C178" s="142" t="s">
        <v>110</v>
      </c>
      <c r="D178" s="143">
        <v>0</v>
      </c>
      <c r="E178" s="143">
        <v>244000</v>
      </c>
      <c r="F178" s="144">
        <v>0</v>
      </c>
    </row>
    <row r="179" spans="1:6" ht="15.75" thickTop="1" thickBot="1" x14ac:dyDescent="0.25">
      <c r="A179" s="104"/>
      <c r="B179" s="146"/>
      <c r="C179" s="147" t="s">
        <v>52</v>
      </c>
      <c r="D179" s="148">
        <v>0</v>
      </c>
      <c r="E179" s="148">
        <f>SUM(E178)</f>
        <v>244000</v>
      </c>
      <c r="F179" s="149">
        <v>0</v>
      </c>
    </row>
    <row r="180" spans="1:6" ht="15" thickBot="1" x14ac:dyDescent="0.25">
      <c r="A180" s="126"/>
      <c r="B180" s="159"/>
      <c r="C180" s="160" t="s">
        <v>30</v>
      </c>
      <c r="D180" s="161">
        <v>0</v>
      </c>
      <c r="E180" s="161">
        <f>SUM(E179)</f>
        <v>244000</v>
      </c>
      <c r="F180" s="47">
        <v>0</v>
      </c>
    </row>
    <row r="181" spans="1:6" ht="14.25" x14ac:dyDescent="0.2">
      <c r="A181" s="104" t="s">
        <v>3</v>
      </c>
      <c r="B181" s="117">
        <v>3958</v>
      </c>
      <c r="C181" s="133" t="s">
        <v>64</v>
      </c>
      <c r="D181" s="134">
        <v>0</v>
      </c>
      <c r="E181" s="134">
        <v>484000</v>
      </c>
      <c r="F181" s="135">
        <v>484000</v>
      </c>
    </row>
    <row r="182" spans="1:6" ht="14.25" x14ac:dyDescent="0.2">
      <c r="A182" s="104"/>
      <c r="B182" s="122">
        <v>3959</v>
      </c>
      <c r="C182" s="10" t="s">
        <v>123</v>
      </c>
      <c r="D182" s="124">
        <v>0</v>
      </c>
      <c r="E182" s="124">
        <v>789000</v>
      </c>
      <c r="F182" s="125">
        <v>789000</v>
      </c>
    </row>
    <row r="183" spans="1:6" ht="14.25" x14ac:dyDescent="0.2">
      <c r="A183" s="104"/>
      <c r="B183" s="122">
        <v>3960</v>
      </c>
      <c r="C183" s="123" t="s">
        <v>65</v>
      </c>
      <c r="D183" s="124">
        <v>0</v>
      </c>
      <c r="E183" s="124">
        <v>1828000</v>
      </c>
      <c r="F183" s="125">
        <v>1828000</v>
      </c>
    </row>
    <row r="184" spans="1:6" ht="15" thickBot="1" x14ac:dyDescent="0.25">
      <c r="A184" s="104"/>
      <c r="B184" s="117">
        <v>3961</v>
      </c>
      <c r="C184" s="133" t="s">
        <v>66</v>
      </c>
      <c r="D184" s="134">
        <v>0</v>
      </c>
      <c r="E184" s="134">
        <v>1075000</v>
      </c>
      <c r="F184" s="135">
        <v>1075000</v>
      </c>
    </row>
    <row r="185" spans="1:6" ht="15.75" thickTop="1" thickBot="1" x14ac:dyDescent="0.25">
      <c r="A185" s="104"/>
      <c r="B185" s="113"/>
      <c r="C185" s="114" t="s">
        <v>35</v>
      </c>
      <c r="D185" s="115">
        <v>0</v>
      </c>
      <c r="E185" s="115">
        <f>SUM(E181:E184)</f>
        <v>4176000</v>
      </c>
      <c r="F185" s="116">
        <f>SUM(F181:F184)</f>
        <v>4176000</v>
      </c>
    </row>
    <row r="186" spans="1:6" ht="14.25" x14ac:dyDescent="0.2">
      <c r="A186" s="104"/>
      <c r="B186" s="100">
        <v>8775</v>
      </c>
      <c r="C186" s="101" t="s">
        <v>78</v>
      </c>
      <c r="D186" s="102">
        <v>0</v>
      </c>
      <c r="E186" s="102">
        <f>5658000-5076000</f>
        <v>582000</v>
      </c>
      <c r="F186" s="103">
        <f>581913.88</f>
        <v>581913.88</v>
      </c>
    </row>
    <row r="187" spans="1:6" ht="14.25" x14ac:dyDescent="0.2">
      <c r="A187" s="104"/>
      <c r="B187" s="122">
        <v>6914</v>
      </c>
      <c r="C187" s="123" t="s">
        <v>92</v>
      </c>
      <c r="D187" s="124">
        <v>0</v>
      </c>
      <c r="E187" s="124">
        <v>1598000</v>
      </c>
      <c r="F187" s="125">
        <v>1598000</v>
      </c>
    </row>
    <row r="188" spans="1:6" ht="15" thickBot="1" x14ac:dyDescent="0.25">
      <c r="A188" s="104"/>
      <c r="B188" s="117">
        <v>6915</v>
      </c>
      <c r="C188" s="133" t="s">
        <v>93</v>
      </c>
      <c r="D188" s="134">
        <v>0</v>
      </c>
      <c r="E188" s="134">
        <v>478000</v>
      </c>
      <c r="F188" s="135">
        <v>478000</v>
      </c>
    </row>
    <row r="189" spans="1:6" ht="15.75" thickTop="1" thickBot="1" x14ac:dyDescent="0.25">
      <c r="A189" s="104"/>
      <c r="B189" s="113"/>
      <c r="C189" s="114" t="s">
        <v>54</v>
      </c>
      <c r="D189" s="115">
        <v>0</v>
      </c>
      <c r="E189" s="115">
        <f>SUM(E186:E188)</f>
        <v>2658000</v>
      </c>
      <c r="F189" s="116">
        <f>SUM(F186:F188)</f>
        <v>2657913.88</v>
      </c>
    </row>
    <row r="190" spans="1:6" ht="15" thickBot="1" x14ac:dyDescent="0.25">
      <c r="A190" s="126"/>
      <c r="B190" s="152"/>
      <c r="C190" s="153" t="s">
        <v>30</v>
      </c>
      <c r="D190" s="154"/>
      <c r="E190" s="154">
        <f>SUM(E185+E189)</f>
        <v>6834000</v>
      </c>
      <c r="F190" s="155">
        <f>SUM(F189,F185)</f>
        <v>6833913.8799999999</v>
      </c>
    </row>
    <row r="191" spans="1:6" ht="14.25" x14ac:dyDescent="0.2">
      <c r="A191" s="99" t="s">
        <v>10</v>
      </c>
      <c r="B191" s="118">
        <v>8778</v>
      </c>
      <c r="C191" s="119" t="s">
        <v>58</v>
      </c>
      <c r="D191" s="120">
        <v>0</v>
      </c>
      <c r="E191" s="120">
        <v>208000</v>
      </c>
      <c r="F191" s="121">
        <f>26620+172315.42+9064.58</f>
        <v>208000</v>
      </c>
    </row>
    <row r="192" spans="1:6" ht="15" thickBot="1" x14ac:dyDescent="0.25">
      <c r="A192" s="104"/>
      <c r="B192" s="117"/>
      <c r="C192" s="133" t="s">
        <v>109</v>
      </c>
      <c r="D192" s="134">
        <v>0</v>
      </c>
      <c r="E192" s="134">
        <v>690000</v>
      </c>
      <c r="F192" s="135">
        <v>690000</v>
      </c>
    </row>
    <row r="193" spans="1:6" ht="15.75" thickTop="1" thickBot="1" x14ac:dyDescent="0.25">
      <c r="A193" s="104"/>
      <c r="B193" s="113"/>
      <c r="C193" s="114" t="s">
        <v>50</v>
      </c>
      <c r="D193" s="115">
        <v>0</v>
      </c>
      <c r="E193" s="115">
        <f>SUM(E191:E192)</f>
        <v>898000</v>
      </c>
      <c r="F193" s="116">
        <f>SUM(F191:F192)</f>
        <v>898000</v>
      </c>
    </row>
    <row r="194" spans="1:6" ht="15" thickBot="1" x14ac:dyDescent="0.25">
      <c r="A194" s="104"/>
      <c r="B194" s="141"/>
      <c r="C194" s="142" t="s">
        <v>109</v>
      </c>
      <c r="D194" s="143"/>
      <c r="E194" s="143">
        <v>147000</v>
      </c>
      <c r="F194" s="144">
        <v>147000</v>
      </c>
    </row>
    <row r="195" spans="1:6" ht="15.75" thickTop="1" thickBot="1" x14ac:dyDescent="0.25">
      <c r="A195" s="104"/>
      <c r="B195" s="113"/>
      <c r="C195" s="114" t="s">
        <v>35</v>
      </c>
      <c r="D195" s="115"/>
      <c r="E195" s="115">
        <f>SUM(E194)</f>
        <v>147000</v>
      </c>
      <c r="F195" s="116">
        <f>SUM(F194)</f>
        <v>147000</v>
      </c>
    </row>
    <row r="196" spans="1:6" ht="29.25" thickBot="1" x14ac:dyDescent="0.25">
      <c r="A196" s="117"/>
      <c r="B196" s="137"/>
      <c r="C196" s="162" t="s">
        <v>121</v>
      </c>
      <c r="D196" s="139">
        <v>0</v>
      </c>
      <c r="E196" s="139">
        <v>628000</v>
      </c>
      <c r="F196" s="140">
        <v>601370</v>
      </c>
    </row>
    <row r="197" spans="1:6" ht="15.75" thickTop="1" thickBot="1" x14ac:dyDescent="0.25">
      <c r="A197" s="104"/>
      <c r="B197" s="113"/>
      <c r="C197" s="114" t="s">
        <v>45</v>
      </c>
      <c r="D197" s="115">
        <v>0</v>
      </c>
      <c r="E197" s="115">
        <v>628000</v>
      </c>
      <c r="F197" s="116">
        <f>SUM(F196)</f>
        <v>601370</v>
      </c>
    </row>
    <row r="198" spans="1:6" ht="14.25" x14ac:dyDescent="0.2">
      <c r="A198" s="117"/>
      <c r="B198" s="117">
        <v>8778</v>
      </c>
      <c r="C198" s="133" t="s">
        <v>99</v>
      </c>
      <c r="D198" s="134"/>
      <c r="E198" s="134">
        <v>1126000</v>
      </c>
      <c r="F198" s="135">
        <f>879862.39+245275.47</f>
        <v>1125137.8600000001</v>
      </c>
    </row>
    <row r="199" spans="1:6" ht="15" thickBot="1" x14ac:dyDescent="0.25">
      <c r="A199" s="117"/>
      <c r="B199" s="109"/>
      <c r="C199" s="110" t="s">
        <v>58</v>
      </c>
      <c r="D199" s="111"/>
      <c r="E199" s="111">
        <v>213000</v>
      </c>
      <c r="F199" s="112">
        <v>213000</v>
      </c>
    </row>
    <row r="200" spans="1:6" ht="15.75" thickTop="1" thickBot="1" x14ac:dyDescent="0.25">
      <c r="A200" s="126"/>
      <c r="B200" s="113"/>
      <c r="C200" s="114" t="s">
        <v>54</v>
      </c>
      <c r="D200" s="115"/>
      <c r="E200" s="115">
        <f>SUM(E198:E199)</f>
        <v>1339000</v>
      </c>
      <c r="F200" s="116">
        <f>SUM(F198:F199)</f>
        <v>1338137.8600000001</v>
      </c>
    </row>
    <row r="201" spans="1:6" ht="15" thickBot="1" x14ac:dyDescent="0.25">
      <c r="A201" s="164"/>
      <c r="B201" s="165"/>
      <c r="C201" s="166" t="s">
        <v>30</v>
      </c>
      <c r="D201" s="167">
        <v>0</v>
      </c>
      <c r="E201" s="167">
        <f>SUM(E193+E195+E197+E200)</f>
        <v>3012000</v>
      </c>
      <c r="F201" s="168">
        <f>SUM(F200,F197,F195,F193)</f>
        <v>2984507.8600000003</v>
      </c>
    </row>
    <row r="202" spans="1:6" ht="15" thickBot="1" x14ac:dyDescent="0.25">
      <c r="A202" s="99" t="s">
        <v>20</v>
      </c>
      <c r="B202" s="100"/>
      <c r="C202" s="101" t="s">
        <v>53</v>
      </c>
      <c r="D202" s="102">
        <v>0</v>
      </c>
      <c r="E202" s="102">
        <f>3685000-2579000</f>
        <v>1106000</v>
      </c>
      <c r="F202" s="103">
        <f>3582447+89540+12100-2578860.9</f>
        <v>1105226.1000000001</v>
      </c>
    </row>
    <row r="203" spans="1:6" ht="15.75" thickTop="1" thickBot="1" x14ac:dyDescent="0.25">
      <c r="A203" s="104"/>
      <c r="B203" s="113"/>
      <c r="C203" s="114" t="s">
        <v>54</v>
      </c>
      <c r="D203" s="115">
        <v>0</v>
      </c>
      <c r="E203" s="115">
        <f>SUM(E202)</f>
        <v>1106000</v>
      </c>
      <c r="F203" s="116">
        <f>SUM(F202)</f>
        <v>1105226.1000000001</v>
      </c>
    </row>
    <row r="204" spans="1:6" ht="14.25" x14ac:dyDescent="0.2">
      <c r="A204" s="104"/>
      <c r="B204" s="100">
        <v>8771</v>
      </c>
      <c r="C204" s="101" t="s">
        <v>60</v>
      </c>
      <c r="D204" s="102">
        <v>0</v>
      </c>
      <c r="E204" s="102">
        <v>3080000</v>
      </c>
      <c r="F204" s="103">
        <f>297113.85+572619.55+1344919.29+149435.47+103369.98</f>
        <v>2467458.14</v>
      </c>
    </row>
    <row r="205" spans="1:6" ht="15" thickBot="1" x14ac:dyDescent="0.25">
      <c r="A205" s="104"/>
      <c r="B205" s="109">
        <v>8774</v>
      </c>
      <c r="C205" s="110" t="s">
        <v>76</v>
      </c>
      <c r="D205" s="111">
        <v>0</v>
      </c>
      <c r="E205" s="111">
        <f>10000000-6612000</f>
        <v>3388000</v>
      </c>
      <c r="F205" s="112">
        <f>157221.56+1444603.4+1786175.04</f>
        <v>3388000</v>
      </c>
    </row>
    <row r="206" spans="1:6" ht="15.75" thickTop="1" thickBot="1" x14ac:dyDescent="0.25">
      <c r="A206" s="104"/>
      <c r="B206" s="113"/>
      <c r="C206" s="114" t="s">
        <v>35</v>
      </c>
      <c r="D206" s="115">
        <v>0</v>
      </c>
      <c r="E206" s="115">
        <f>SUM(E204:E205)</f>
        <v>6468000</v>
      </c>
      <c r="F206" s="116">
        <f>SUM(F204:F205)</f>
        <v>5855458.1400000006</v>
      </c>
    </row>
    <row r="207" spans="1:6" ht="15" thickBot="1" x14ac:dyDescent="0.25">
      <c r="A207" s="104"/>
      <c r="B207" s="136"/>
      <c r="C207" s="130" t="s">
        <v>30</v>
      </c>
      <c r="D207" s="131">
        <v>0</v>
      </c>
      <c r="E207" s="131">
        <f>SUM(E203+E206)</f>
        <v>7574000</v>
      </c>
      <c r="F207" s="132">
        <f>SUM(F206,F203)</f>
        <v>6960684.2400000002</v>
      </c>
    </row>
    <row r="208" spans="1:6" ht="14.25" x14ac:dyDescent="0.2">
      <c r="A208" s="99" t="s">
        <v>12</v>
      </c>
      <c r="B208" s="100">
        <v>6884</v>
      </c>
      <c r="C208" s="101" t="s">
        <v>39</v>
      </c>
      <c r="D208" s="102">
        <v>4642000</v>
      </c>
      <c r="E208" s="102">
        <f>4642000+928000</f>
        <v>5570000</v>
      </c>
      <c r="F208" s="103">
        <f>1625883.05+3363420.92+580696.03</f>
        <v>5570000</v>
      </c>
    </row>
    <row r="209" spans="1:6" ht="15" thickBot="1" x14ac:dyDescent="0.25">
      <c r="A209" s="104"/>
      <c r="B209" s="109"/>
      <c r="C209" s="110" t="s">
        <v>116</v>
      </c>
      <c r="D209" s="111"/>
      <c r="E209" s="111">
        <v>196000</v>
      </c>
      <c r="F209" s="112">
        <v>195400</v>
      </c>
    </row>
    <row r="210" spans="1:6" ht="15.75" thickTop="1" thickBot="1" x14ac:dyDescent="0.25">
      <c r="A210" s="104"/>
      <c r="B210" s="126"/>
      <c r="C210" s="127" t="s">
        <v>35</v>
      </c>
      <c r="D210" s="128">
        <f t="shared" ref="D210" si="3">SUM(D208)</f>
        <v>4642000</v>
      </c>
      <c r="E210" s="128">
        <f>SUM(E208:E209)</f>
        <v>5766000</v>
      </c>
      <c r="F210" s="54">
        <f>SUM(F208:F209)</f>
        <v>5765400</v>
      </c>
    </row>
    <row r="211" spans="1:6" ht="15" thickBot="1" x14ac:dyDescent="0.25">
      <c r="A211" s="117"/>
      <c r="B211" s="141"/>
      <c r="C211" s="142" t="s">
        <v>106</v>
      </c>
      <c r="D211" s="143">
        <v>0</v>
      </c>
      <c r="E211" s="143">
        <v>10000</v>
      </c>
      <c r="F211" s="144">
        <v>10000</v>
      </c>
    </row>
    <row r="212" spans="1:6" ht="15.75" thickTop="1" thickBot="1" x14ac:dyDescent="0.25">
      <c r="A212" s="104"/>
      <c r="B212" s="126"/>
      <c r="C212" s="127" t="s">
        <v>52</v>
      </c>
      <c r="D212" s="128">
        <v>0</v>
      </c>
      <c r="E212" s="128">
        <f>SUM(E211)</f>
        <v>10000</v>
      </c>
      <c r="F212" s="54">
        <f>SUM(F211)</f>
        <v>10000</v>
      </c>
    </row>
    <row r="213" spans="1:6" ht="15" thickBot="1" x14ac:dyDescent="0.25">
      <c r="A213" s="117"/>
      <c r="B213" s="141"/>
      <c r="C213" s="142" t="s">
        <v>104</v>
      </c>
      <c r="D213" s="143">
        <v>0</v>
      </c>
      <c r="E213" s="143">
        <v>1000000</v>
      </c>
      <c r="F213" s="144">
        <v>1000000</v>
      </c>
    </row>
    <row r="214" spans="1:6" ht="15.75" thickTop="1" thickBot="1" x14ac:dyDescent="0.25">
      <c r="A214" s="104"/>
      <c r="B214" s="126"/>
      <c r="C214" s="127" t="s">
        <v>54</v>
      </c>
      <c r="D214" s="128">
        <v>0</v>
      </c>
      <c r="E214" s="128">
        <v>1000000</v>
      </c>
      <c r="F214" s="54">
        <f>SUM(F213)</f>
        <v>1000000</v>
      </c>
    </row>
    <row r="215" spans="1:6" ht="15" thickBot="1" x14ac:dyDescent="0.25">
      <c r="A215" s="126"/>
      <c r="B215" s="152"/>
      <c r="C215" s="153" t="s">
        <v>30</v>
      </c>
      <c r="D215" s="154">
        <f>SUM(D210)</f>
        <v>4642000</v>
      </c>
      <c r="E215" s="154">
        <f>SUM(E210+E212+E214)</f>
        <v>6776000</v>
      </c>
      <c r="F215" s="155">
        <f>SUM(F210+F212+F214)</f>
        <v>6775400</v>
      </c>
    </row>
    <row r="216" spans="1:6" ht="15" thickBot="1" x14ac:dyDescent="0.25">
      <c r="A216" s="99" t="s">
        <v>16</v>
      </c>
      <c r="B216" s="137">
        <v>8781</v>
      </c>
      <c r="C216" s="138" t="s">
        <v>105</v>
      </c>
      <c r="D216" s="139">
        <v>0</v>
      </c>
      <c r="E216" s="139">
        <v>320000</v>
      </c>
      <c r="F216" s="139">
        <v>319440</v>
      </c>
    </row>
    <row r="217" spans="1:6" ht="15.75" thickTop="1" thickBot="1" x14ac:dyDescent="0.25">
      <c r="A217" s="104"/>
      <c r="B217" s="126"/>
      <c r="C217" s="127" t="s">
        <v>35</v>
      </c>
      <c r="D217" s="128">
        <v>0</v>
      </c>
      <c r="E217" s="128">
        <v>320000</v>
      </c>
      <c r="F217" s="128">
        <v>319440</v>
      </c>
    </row>
    <row r="218" spans="1:6" ht="15" thickBot="1" x14ac:dyDescent="0.25">
      <c r="A218" s="126"/>
      <c r="B218" s="152"/>
      <c r="C218" s="153" t="s">
        <v>30</v>
      </c>
      <c r="D218" s="154"/>
      <c r="E218" s="154">
        <f>SUM(E217)</f>
        <v>320000</v>
      </c>
      <c r="F218" s="154">
        <f>SUM(F217)</f>
        <v>319440</v>
      </c>
    </row>
    <row r="219" spans="1:6" ht="15" thickBot="1" x14ac:dyDescent="0.25">
      <c r="A219" s="177" t="s">
        <v>31</v>
      </c>
      <c r="B219" s="178"/>
      <c r="C219" s="179"/>
      <c r="D219" s="163">
        <f>SUM(D84+D130+D150+D215)</f>
        <v>25958000</v>
      </c>
      <c r="E219" s="163">
        <f>SUM(E84+E95+E106+E118+E123+E130+E136+E144+E150+E157+E163+E172+E177+E180+E190+E201+E207+E215+E218)</f>
        <v>134963000</v>
      </c>
      <c r="F219" s="163">
        <f t="shared" ref="F219" si="4">SUM(F84+F95+F106+F118+F123+F130+F136+F144+F150+F157+F163+F172+F177+F180+F190+F201+F207+F215+F218)</f>
        <v>117246090.05999999</v>
      </c>
    </row>
    <row r="220" spans="1:6" x14ac:dyDescent="0.2">
      <c r="A220" s="5"/>
      <c r="B220" s="5"/>
      <c r="C220" s="33"/>
      <c r="D220" s="8"/>
      <c r="E220" s="8"/>
      <c r="F220" s="4"/>
    </row>
    <row r="221" spans="1:6" x14ac:dyDescent="0.2">
      <c r="A221" s="2"/>
      <c r="B221" s="2"/>
      <c r="C221" s="6"/>
      <c r="D221" s="8"/>
      <c r="E221" s="8"/>
      <c r="F221" s="36"/>
    </row>
    <row r="222" spans="1:6" x14ac:dyDescent="0.2">
      <c r="A222" s="14"/>
      <c r="B222" s="14"/>
      <c r="C222" s="9"/>
      <c r="D222" s="7"/>
      <c r="E222" s="7"/>
      <c r="F222" s="37"/>
    </row>
    <row r="223" spans="1:6" x14ac:dyDescent="0.2">
      <c r="A223" s="2"/>
      <c r="B223" s="2"/>
      <c r="C223" s="9"/>
      <c r="D223" s="7"/>
      <c r="E223" s="7"/>
      <c r="F223" s="37"/>
    </row>
    <row r="224" spans="1:6" x14ac:dyDescent="0.2">
      <c r="A224" s="2"/>
      <c r="B224" s="2"/>
      <c r="C224" s="6"/>
      <c r="D224" s="8"/>
      <c r="E224" s="8"/>
      <c r="F224" s="36"/>
    </row>
    <row r="225" spans="1:6" x14ac:dyDescent="0.2">
      <c r="A225" s="2"/>
      <c r="B225" s="2"/>
      <c r="C225" s="6"/>
      <c r="D225" s="8"/>
      <c r="E225" s="8"/>
      <c r="F225" s="36"/>
    </row>
    <row r="226" spans="1:6" x14ac:dyDescent="0.2">
      <c r="A226" s="16"/>
      <c r="B226" s="16"/>
      <c r="C226" s="17"/>
      <c r="D226" s="8"/>
      <c r="E226" s="8"/>
      <c r="F226" s="4"/>
    </row>
    <row r="227" spans="1:6" x14ac:dyDescent="0.2">
      <c r="A227" s="17"/>
      <c r="B227" s="17"/>
      <c r="C227" s="9"/>
      <c r="D227" s="7"/>
      <c r="E227" s="7"/>
      <c r="F227" s="37"/>
    </row>
    <row r="228" spans="1:6" x14ac:dyDescent="0.2">
      <c r="A228" s="17"/>
      <c r="B228" s="17"/>
      <c r="C228" s="18"/>
      <c r="D228" s="7"/>
      <c r="E228" s="7"/>
      <c r="F228" s="37"/>
    </row>
    <row r="229" spans="1:6" x14ac:dyDescent="0.2">
      <c r="A229" s="17"/>
      <c r="B229" s="17"/>
      <c r="C229" s="18"/>
      <c r="D229" s="7"/>
      <c r="E229" s="7"/>
      <c r="F229" s="37"/>
    </row>
    <row r="230" spans="1:6" ht="15" x14ac:dyDescent="0.2">
      <c r="A230" s="19"/>
      <c r="B230" s="19"/>
      <c r="C230" s="18"/>
      <c r="D230" s="20"/>
      <c r="E230" s="15"/>
      <c r="F230" s="38"/>
    </row>
    <row r="231" spans="1:6" x14ac:dyDescent="0.2">
      <c r="A231" s="6"/>
      <c r="B231" s="6"/>
      <c r="C231" s="21"/>
      <c r="D231" s="20"/>
      <c r="E231" s="22"/>
      <c r="F231" s="39"/>
    </row>
    <row r="232" spans="1:6" x14ac:dyDescent="0.2">
      <c r="A232" s="2"/>
      <c r="B232" s="2"/>
      <c r="C232" s="21"/>
      <c r="D232" s="17"/>
      <c r="E232" s="22"/>
      <c r="F232" s="39"/>
    </row>
    <row r="233" spans="1:6" x14ac:dyDescent="0.2">
      <c r="A233" s="2"/>
      <c r="B233" s="2"/>
      <c r="C233" s="21"/>
      <c r="D233" s="17"/>
      <c r="E233" s="22"/>
      <c r="F233" s="39"/>
    </row>
    <row r="234" spans="1:6" x14ac:dyDescent="0.2">
      <c r="A234" s="2"/>
      <c r="B234" s="2"/>
      <c r="C234" s="21"/>
      <c r="D234" s="17"/>
      <c r="E234" s="22"/>
      <c r="F234" s="39"/>
    </row>
    <row r="235" spans="1:6" x14ac:dyDescent="0.2">
      <c r="A235" s="2"/>
      <c r="B235" s="2"/>
      <c r="C235" s="21"/>
      <c r="D235" s="17"/>
      <c r="E235" s="22"/>
      <c r="F235" s="39"/>
    </row>
    <row r="236" spans="1:6" x14ac:dyDescent="0.2">
      <c r="A236" s="2"/>
      <c r="B236" s="2"/>
      <c r="C236" s="21"/>
      <c r="D236" s="17"/>
      <c r="E236" s="22"/>
      <c r="F236" s="39"/>
    </row>
    <row r="237" spans="1:6" x14ac:dyDescent="0.2">
      <c r="A237" s="2"/>
      <c r="B237" s="2"/>
      <c r="C237" s="18"/>
      <c r="D237" s="20"/>
      <c r="E237" s="15"/>
      <c r="F237" s="37"/>
    </row>
    <row r="238" spans="1:6" x14ac:dyDescent="0.2">
      <c r="A238" s="5"/>
      <c r="B238" s="5"/>
      <c r="C238" s="18"/>
      <c r="D238" s="15"/>
      <c r="E238" s="15"/>
      <c r="F238" s="37"/>
    </row>
    <row r="239" spans="1:6" x14ac:dyDescent="0.2">
      <c r="A239" s="5"/>
      <c r="B239" s="5"/>
      <c r="C239" s="18"/>
      <c r="D239" s="15"/>
      <c r="E239" s="15"/>
      <c r="F239" s="37"/>
    </row>
    <row r="240" spans="1:6" x14ac:dyDescent="0.2">
      <c r="A240" s="5"/>
      <c r="B240" s="5"/>
      <c r="C240" s="18"/>
      <c r="D240" s="15"/>
      <c r="E240" s="15"/>
      <c r="F240" s="37"/>
    </row>
    <row r="241" spans="1:6" x14ac:dyDescent="0.2">
      <c r="A241" s="5"/>
      <c r="B241" s="5"/>
      <c r="C241" s="18"/>
      <c r="D241" s="15"/>
      <c r="E241" s="15"/>
      <c r="F241" s="37"/>
    </row>
    <row r="242" spans="1:6" x14ac:dyDescent="0.2">
      <c r="A242" s="5"/>
      <c r="B242" s="5"/>
      <c r="C242" s="18"/>
      <c r="D242" s="15"/>
      <c r="E242" s="15"/>
      <c r="F242" s="37"/>
    </row>
    <row r="243" spans="1:6" x14ac:dyDescent="0.2">
      <c r="A243" s="5"/>
      <c r="B243" s="5"/>
      <c r="C243" s="23"/>
      <c r="D243" s="24"/>
      <c r="E243" s="24"/>
      <c r="F243" s="36"/>
    </row>
    <row r="244" spans="1:6" x14ac:dyDescent="0.2">
      <c r="A244" s="5"/>
      <c r="B244" s="5"/>
      <c r="C244" s="18"/>
      <c r="D244" s="15"/>
      <c r="E244" s="15"/>
      <c r="F244" s="37"/>
    </row>
    <row r="245" spans="1:6" x14ac:dyDescent="0.2">
      <c r="A245" s="5"/>
      <c r="B245" s="5"/>
      <c r="C245" s="23"/>
      <c r="D245" s="25"/>
      <c r="E245" s="25"/>
      <c r="F245" s="36"/>
    </row>
    <row r="246" spans="1:6" x14ac:dyDescent="0.2">
      <c r="A246" s="5"/>
      <c r="B246" s="5"/>
      <c r="C246" s="18"/>
      <c r="D246" s="26"/>
      <c r="E246" s="26"/>
      <c r="F246" s="37"/>
    </row>
    <row r="247" spans="1:6" x14ac:dyDescent="0.2">
      <c r="A247" s="5"/>
      <c r="B247" s="5"/>
      <c r="C247" s="18"/>
      <c r="D247" s="26"/>
      <c r="E247" s="26"/>
      <c r="F247" s="37"/>
    </row>
    <row r="248" spans="1:6" x14ac:dyDescent="0.2">
      <c r="A248" s="5"/>
      <c r="B248" s="5"/>
      <c r="C248" s="27"/>
      <c r="D248" s="25"/>
      <c r="E248" s="25"/>
      <c r="F248" s="36"/>
    </row>
    <row r="249" spans="1:6" x14ac:dyDescent="0.2">
      <c r="A249" s="5"/>
      <c r="B249" s="5"/>
      <c r="C249" s="6"/>
      <c r="D249" s="28"/>
      <c r="E249" s="28"/>
      <c r="F249" s="36"/>
    </row>
    <row r="250" spans="1:6" x14ac:dyDescent="0.2">
      <c r="A250" s="5"/>
      <c r="B250" s="5"/>
      <c r="C250" s="9"/>
      <c r="D250" s="29"/>
      <c r="E250" s="29"/>
      <c r="F250" s="37"/>
    </row>
    <row r="251" spans="1:6" x14ac:dyDescent="0.2">
      <c r="A251" s="5"/>
      <c r="B251" s="5"/>
      <c r="C251" s="9"/>
      <c r="D251" s="29"/>
      <c r="E251" s="29"/>
      <c r="F251" s="37"/>
    </row>
    <row r="252" spans="1:6" x14ac:dyDescent="0.2">
      <c r="A252" s="5"/>
      <c r="B252" s="5"/>
      <c r="C252" s="9"/>
      <c r="D252" s="29"/>
      <c r="E252" s="29"/>
      <c r="F252" s="37"/>
    </row>
    <row r="253" spans="1:6" x14ac:dyDescent="0.2">
      <c r="A253" s="5"/>
      <c r="B253" s="5"/>
      <c r="C253" s="9"/>
      <c r="D253" s="29"/>
      <c r="E253" s="29"/>
      <c r="F253" s="37"/>
    </row>
    <row r="254" spans="1:6" x14ac:dyDescent="0.2">
      <c r="A254" s="5"/>
      <c r="B254" s="5"/>
      <c r="C254" s="9"/>
      <c r="D254" s="29"/>
      <c r="E254" s="29"/>
      <c r="F254" s="37"/>
    </row>
    <row r="255" spans="1:6" x14ac:dyDescent="0.2">
      <c r="A255" s="5"/>
      <c r="B255" s="5"/>
      <c r="C255" s="9"/>
      <c r="D255" s="29"/>
      <c r="E255" s="29"/>
      <c r="F255" s="37"/>
    </row>
    <row r="256" spans="1:6" x14ac:dyDescent="0.2">
      <c r="A256" s="5"/>
      <c r="B256" s="5"/>
      <c r="C256" s="9"/>
      <c r="D256" s="29"/>
      <c r="E256" s="29"/>
      <c r="F256" s="37"/>
    </row>
    <row r="257" spans="1:6" x14ac:dyDescent="0.2">
      <c r="A257" s="5"/>
      <c r="B257" s="5"/>
      <c r="C257" s="9"/>
      <c r="D257" s="29"/>
      <c r="E257" s="29"/>
      <c r="F257" s="37"/>
    </row>
    <row r="258" spans="1:6" x14ac:dyDescent="0.2">
      <c r="A258" s="5"/>
      <c r="B258" s="5"/>
      <c r="C258" s="9"/>
      <c r="D258" s="29"/>
      <c r="E258" s="29"/>
      <c r="F258" s="37"/>
    </row>
    <row r="259" spans="1:6" x14ac:dyDescent="0.2">
      <c r="A259" s="5"/>
      <c r="B259" s="5"/>
      <c r="C259" s="9"/>
      <c r="D259" s="29"/>
      <c r="E259" s="29"/>
      <c r="F259" s="37"/>
    </row>
  </sheetData>
  <mergeCells count="14">
    <mergeCell ref="A1:F1"/>
    <mergeCell ref="E70:E71"/>
    <mergeCell ref="F70:F71"/>
    <mergeCell ref="A3:A4"/>
    <mergeCell ref="C3:C4"/>
    <mergeCell ref="D3:D4"/>
    <mergeCell ref="E3:E4"/>
    <mergeCell ref="F3:F4"/>
    <mergeCell ref="D70:D71"/>
    <mergeCell ref="A219:C219"/>
    <mergeCell ref="A63:C63"/>
    <mergeCell ref="A70:A71"/>
    <mergeCell ref="B70:B71"/>
    <mergeCell ref="C70:C71"/>
  </mergeCell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 scaleWithDoc="0" alignWithMargins="0">
    <oddHeader>&amp;RPříloha č. 20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 zprávy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Lindovská Jana</cp:lastModifiedBy>
  <cp:lastPrinted>2018-05-25T10:27:48Z</cp:lastPrinted>
  <dcterms:created xsi:type="dcterms:W3CDTF">2011-01-06T08:18:14Z</dcterms:created>
  <dcterms:modified xsi:type="dcterms:W3CDTF">2018-05-25T10:28:42Z</dcterms:modified>
</cp:coreProperties>
</file>