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80" windowWidth="11355" windowHeight="6840"/>
  </bookViews>
  <sheets>
    <sheet name="List1" sheetId="4" r:id="rId1"/>
  </sheets>
  <calcPr calcId="145621"/>
</workbook>
</file>

<file path=xl/calcChain.xml><?xml version="1.0" encoding="utf-8"?>
<calcChain xmlns="http://schemas.openxmlformats.org/spreadsheetml/2006/main">
  <c r="F11" i="4" l="1"/>
  <c r="F13" i="4"/>
  <c r="F10" i="4" l="1"/>
  <c r="F211" i="4"/>
  <c r="E211" i="4"/>
  <c r="D211" i="4"/>
  <c r="D209" i="4"/>
  <c r="D214" i="4" s="1"/>
  <c r="D218" i="4" s="1"/>
  <c r="F204" i="4" l="1"/>
  <c r="F89" i="4" l="1"/>
  <c r="F148" i="4"/>
  <c r="F109" i="4" l="1"/>
  <c r="F52" i="4" l="1"/>
  <c r="F191" i="4"/>
  <c r="F130" i="4" l="1"/>
  <c r="F182" i="4" l="1"/>
  <c r="F122" i="4"/>
  <c r="F23" i="4" l="1"/>
  <c r="E142" i="4" l="1"/>
  <c r="F17" i="4"/>
  <c r="F207" i="4"/>
  <c r="E139" i="4" l="1"/>
  <c r="F90" i="4" l="1"/>
  <c r="F94" i="4"/>
  <c r="F215" i="4"/>
  <c r="F88" i="4" l="1"/>
  <c r="F195" i="4"/>
  <c r="F96" i="4"/>
  <c r="F95" i="4" s="1"/>
  <c r="F194" i="4" l="1"/>
  <c r="F35" i="4"/>
  <c r="E129" i="4" l="1"/>
  <c r="E109" i="4"/>
  <c r="E104" i="4"/>
  <c r="E106" i="4"/>
  <c r="E103" i="4"/>
  <c r="E98" i="4"/>
  <c r="E88" i="4"/>
  <c r="E73" i="4"/>
  <c r="E64" i="4"/>
  <c r="E37" i="4"/>
  <c r="E20" i="4"/>
  <c r="E14" i="4"/>
  <c r="E10" i="4"/>
  <c r="E207" i="4" l="1"/>
  <c r="E209" i="4" s="1"/>
  <c r="F133" i="4" l="1"/>
  <c r="F131" i="4"/>
  <c r="F8" i="4"/>
  <c r="E195" i="4"/>
  <c r="E186" i="4"/>
  <c r="E182" i="4"/>
  <c r="E148" i="4"/>
  <c r="E141" i="4"/>
  <c r="F171" i="4" l="1"/>
  <c r="F80" i="4"/>
  <c r="F135" i="4" l="1"/>
  <c r="F100" i="4" l="1"/>
  <c r="F169" i="4"/>
  <c r="F82" i="4" l="1"/>
  <c r="F99" i="4" l="1"/>
  <c r="F212" i="4" l="1"/>
  <c r="F208" i="4"/>
  <c r="F209" i="4" s="1"/>
  <c r="F189" i="4" l="1"/>
  <c r="F190" i="4" s="1"/>
  <c r="F186" i="4"/>
  <c r="F187" i="4" s="1"/>
  <c r="F183" i="4"/>
  <c r="F166" i="4"/>
  <c r="F167" i="4" s="1"/>
  <c r="F158" i="4"/>
  <c r="F163" i="4" s="1"/>
  <c r="F164" i="4" s="1"/>
  <c r="F119" i="4"/>
  <c r="F120" i="4"/>
  <c r="F18" i="4"/>
  <c r="F16" i="4"/>
  <c r="F106" i="4"/>
  <c r="F104" i="4"/>
  <c r="F70" i="4"/>
  <c r="F64" i="4"/>
  <c r="F59" i="4"/>
  <c r="F37" i="4"/>
  <c r="F29" i="4"/>
  <c r="F134" i="4" l="1"/>
  <c r="F98" i="4"/>
  <c r="F87" i="4"/>
  <c r="F86" i="4" s="1"/>
  <c r="F54" i="4"/>
  <c r="F46" i="4"/>
  <c r="F45" i="4" s="1"/>
  <c r="F7" i="4"/>
  <c r="F216" i="4"/>
  <c r="F217" i="4" s="1"/>
  <c r="E216" i="4"/>
  <c r="E217" i="4" s="1"/>
  <c r="E213" i="4"/>
  <c r="E214" i="4" s="1"/>
  <c r="F213" i="4"/>
  <c r="F214" i="4" s="1"/>
  <c r="F205" i="4"/>
  <c r="E203" i="4"/>
  <c r="E206" i="4" s="1"/>
  <c r="F202" i="4"/>
  <c r="F201" i="4"/>
  <c r="F196" i="4"/>
  <c r="F200" i="4" s="1"/>
  <c r="E194" i="4"/>
  <c r="E196" i="4" s="1"/>
  <c r="E192" i="4"/>
  <c r="E193" i="4" s="1"/>
  <c r="F192" i="4"/>
  <c r="F193" i="4" s="1"/>
  <c r="E189" i="4"/>
  <c r="E190" i="4" s="1"/>
  <c r="E187" i="4"/>
  <c r="E183" i="4"/>
  <c r="E173" i="4"/>
  <c r="E174" i="4" s="1"/>
  <c r="F168" i="4"/>
  <c r="F173" i="4" s="1"/>
  <c r="E166" i="4"/>
  <c r="E167" i="4" s="1"/>
  <c r="E163" i="4"/>
  <c r="E164" i="4" s="1"/>
  <c r="F155" i="4"/>
  <c r="F156" i="4" s="1"/>
  <c r="F157" i="4" s="1"/>
  <c r="E155" i="4"/>
  <c r="E156" i="4" s="1"/>
  <c r="E157" i="4" s="1"/>
  <c r="E153" i="4"/>
  <c r="E154" i="4" s="1"/>
  <c r="F152" i="4"/>
  <c r="F153" i="4" s="1"/>
  <c r="F154" i="4" s="1"/>
  <c r="E151" i="4"/>
  <c r="F151" i="4"/>
  <c r="F139" i="4"/>
  <c r="F137" i="4"/>
  <c r="E137" i="4"/>
  <c r="E119" i="4"/>
  <c r="E134" i="4" s="1"/>
  <c r="E138" i="4" s="1"/>
  <c r="E112" i="4"/>
  <c r="D112" i="4"/>
  <c r="F73" i="4"/>
  <c r="F55" i="4"/>
  <c r="F28" i="4"/>
  <c r="F26" i="4" s="1"/>
  <c r="F25" i="4"/>
  <c r="F15" i="4"/>
  <c r="F6" i="4"/>
  <c r="E218" i="4" l="1"/>
  <c r="F138" i="4"/>
  <c r="F5" i="4"/>
  <c r="F20" i="4"/>
  <c r="F144" i="4"/>
  <c r="F145" i="4" s="1"/>
  <c r="E144" i="4"/>
  <c r="E145" i="4" s="1"/>
  <c r="F53" i="4"/>
  <c r="F14" i="4"/>
  <c r="F174" i="4"/>
  <c r="F203" i="4"/>
  <c r="F206" i="4"/>
  <c r="E200" i="4"/>
  <c r="F112" i="4" l="1"/>
  <c r="F218" i="4"/>
</calcChain>
</file>

<file path=xl/sharedStrings.xml><?xml version="1.0" encoding="utf-8"?>
<sst xmlns="http://schemas.openxmlformats.org/spreadsheetml/2006/main" count="249" uniqueCount="173">
  <si>
    <t>MO</t>
  </si>
  <si>
    <t>MOP</t>
  </si>
  <si>
    <t>POR</t>
  </si>
  <si>
    <t>RAB</t>
  </si>
  <si>
    <t>PET</t>
  </si>
  <si>
    <t>OJI</t>
  </si>
  <si>
    <t>HOS</t>
  </si>
  <si>
    <t>NBE</t>
  </si>
  <si>
    <t>LHO</t>
  </si>
  <si>
    <t>NVE</t>
  </si>
  <si>
    <t>KPO</t>
  </si>
  <si>
    <t>SLO</t>
  </si>
  <si>
    <t>SVI</t>
  </si>
  <si>
    <t>PRO</t>
  </si>
  <si>
    <t>VIT</t>
  </si>
  <si>
    <t>PUS</t>
  </si>
  <si>
    <t>PLE</t>
  </si>
  <si>
    <t>SBE</t>
  </si>
  <si>
    <t>MHH</t>
  </si>
  <si>
    <t>MAR</t>
  </si>
  <si>
    <t>POL</t>
  </si>
  <si>
    <t>HRA</t>
  </si>
  <si>
    <t>MIC</t>
  </si>
  <si>
    <t>TRE</t>
  </si>
  <si>
    <t>název</t>
  </si>
  <si>
    <t>poukázáno</t>
  </si>
  <si>
    <t>Rekonstrukce chodníků a trolejbusových zastávek Hornopolní</t>
  </si>
  <si>
    <t>Sládkova 6 - stavební úpravy domu</t>
  </si>
  <si>
    <t>Sládkova 4 - stavební úpravy domu</t>
  </si>
  <si>
    <t>Komunitní dům seniorů Heřmanická</t>
  </si>
  <si>
    <t>Vybudování kulturně vzdělávacího centra Muglinov</t>
  </si>
  <si>
    <t>Domov pro seniory Hladnovská</t>
  </si>
  <si>
    <t>Parkoviště ul. Výškovická 70-72</t>
  </si>
  <si>
    <t>ŠJ+ŠD Výškovická 165 při ZŠ Srbská</t>
  </si>
  <si>
    <t>Řešení statické dopravy ul. Horní,Provaznická,Mitušova, Sámova</t>
  </si>
  <si>
    <t>přeložka kabelového vedení VN a NN ul. Jiříkovského</t>
  </si>
  <si>
    <t>Rekonstrukce domů Skautská 428-431</t>
  </si>
  <si>
    <t>Parkoviště u areálu SOKOL Nová Bělá</t>
  </si>
  <si>
    <t>Nová MŠ - dětské hřiště</t>
  </si>
  <si>
    <t>nákup automobilu</t>
  </si>
  <si>
    <t>umělecké dílo - znak městské části</t>
  </si>
  <si>
    <t>rozdělení bytů U Cementárny 29</t>
  </si>
  <si>
    <t>stavební úpravy pro snížení energetické náročnosti Zengrova 14</t>
  </si>
  <si>
    <t>etážové topení v budově Halasova 23</t>
  </si>
  <si>
    <t>traktor s příslušenstvím</t>
  </si>
  <si>
    <t>panel pro měření rychlosti + kamera bez záznamu</t>
  </si>
  <si>
    <t>spojovací chodník v areálu VTP v O.-Pustkovci - PD</t>
  </si>
  <si>
    <t>hasičská zbrojnice Pustkovec - připojovací poplatek ČEZ</t>
  </si>
  <si>
    <t>hasičská zbrojnice Pustkovec - PD - doplatek</t>
  </si>
  <si>
    <t>Rekonstrukce zahrady MŠ Matrosovova</t>
  </si>
  <si>
    <t>2 ks zastávkových přístřešků v lokalitě Nordpól</t>
  </si>
  <si>
    <t>Rekonstrukce chodníku ul. Koblovská</t>
  </si>
  <si>
    <t>rekonstrukce chodníku v části Nordpól</t>
  </si>
  <si>
    <t>Nasvětlení přechodů na ul. Koblovská - PD</t>
  </si>
  <si>
    <t>traktor</t>
  </si>
  <si>
    <t>rekonstrukce zpevněné plochy na pozemcích parc.č.390, 387/1</t>
  </si>
  <si>
    <t>elektronické zabezpečení budovy ÚMOb</t>
  </si>
  <si>
    <t>MK ul. Stará čtvrť, Televizní, Hlohová</t>
  </si>
  <si>
    <t>zábradlí u fotbalového hřiště</t>
  </si>
  <si>
    <t>rekonstrukce kuchyněk v MŠ</t>
  </si>
  <si>
    <t>Rekonstrukce komunikace Nad Hůrkami</t>
  </si>
  <si>
    <t>SÚ MŠ Proskovice</t>
  </si>
  <si>
    <t>Strategický plán MO na léta 2016-2023</t>
  </si>
  <si>
    <t>vodorovná hydroizolace v domě U Kříže 416/7</t>
  </si>
  <si>
    <t>SÚ BD na ul. Matušínského</t>
  </si>
  <si>
    <t>stavební úpravy podél ul. Zauliční</t>
  </si>
  <si>
    <t>závlek cyklostezky Q</t>
  </si>
  <si>
    <t>Stavební úpravy hasičské zbrojnice č.p. 592 - PD</t>
  </si>
  <si>
    <t>SÚ nebytovýchprostor - Dům pokojného stáří, ul. Janovská 476</t>
  </si>
  <si>
    <t>Sportovní hřiště na ul. E. Rošického, SO 01 Multifunkční hřiště</t>
  </si>
  <si>
    <t>rekonstrukce části chodníku Třebovického parku</t>
  </si>
  <si>
    <t>Stavba chodníku ul. Kozinova</t>
  </si>
  <si>
    <t>Chodník podél ul. K. Svobody</t>
  </si>
  <si>
    <t>NEÚČELOVÁ INVESTIČNÍ DOTACE CELKEM</t>
  </si>
  <si>
    <t>číslo</t>
  </si>
  <si>
    <t>Výměna oken ZŠ Gebauerova</t>
  </si>
  <si>
    <t>Rekonstrukce kašny na Smetanově náměstí</t>
  </si>
  <si>
    <t>Rekonstrukce ul. Repinova, Engelmüllerova</t>
  </si>
  <si>
    <t>Rekonstrukce ul. Kostelní</t>
  </si>
  <si>
    <t>Rekonstrukce náměstí Dr. E. Beneše</t>
  </si>
  <si>
    <t>Sanace suterénu MŠO, Dvořákova</t>
  </si>
  <si>
    <t>Dětský ráj II v sadu Dr. M. Horákové</t>
  </si>
  <si>
    <t>Parkoviště před Střediskem volného času</t>
  </si>
  <si>
    <t>ÚZ 3500</t>
  </si>
  <si>
    <t>Rekonstrukce zahrady MŠ Lechowiczova - II. et.</t>
  </si>
  <si>
    <t>Čisticí vůz v MOaP</t>
  </si>
  <si>
    <t>ÚZ 1030</t>
  </si>
  <si>
    <t>ÚHRN</t>
  </si>
  <si>
    <t>Hydroizolace školských objektů</t>
  </si>
  <si>
    <t>Rekonstrukce rozvodů vody - ZŠ Pěší</t>
  </si>
  <si>
    <t>Bezpečnostní opatření ve školských objektech</t>
  </si>
  <si>
    <t>Rekonstrukce elektroinstalace MŠ Sokolovská 1168</t>
  </si>
  <si>
    <t>Prevence kriminality</t>
  </si>
  <si>
    <t>ÚZ 7402</t>
  </si>
  <si>
    <t>MŠ Nová Bělá - dětské hřiště</t>
  </si>
  <si>
    <t>výkupy nemovitostí - garáží</t>
  </si>
  <si>
    <t>Zhotovení sochy A. Švehly</t>
  </si>
  <si>
    <t>Rekonstrukce ul. Na Zámčiskách</t>
  </si>
  <si>
    <t>Rekonstrukce komunikace na ul. Nivnické</t>
  </si>
  <si>
    <t>Sportovní areál u školy v Petřkovicích</t>
  </si>
  <si>
    <t>Rekonstrukce budovy č. 2 ZŠ v O.-Petřkovicích</t>
  </si>
  <si>
    <t>ZŠ Petřkovice - přeprojektování IV. etapy rekonstrukce ZŠ</t>
  </si>
  <si>
    <t>Spojovací chodník mezi MŠ a ZŠ, ul. U Kaple</t>
  </si>
  <si>
    <t>SÚ a snížení energetické náročnosti KD - PD</t>
  </si>
  <si>
    <t>Parkoviště ul. Na Lánech - PD</t>
  </si>
  <si>
    <t>Zvýšení bezpečnosti siln.provozu na ul.Staroveské</t>
  </si>
  <si>
    <t>Rekonstrukce vnitřních prostor Klubu důchodců</t>
  </si>
  <si>
    <t>Výstavba chodníku na ul. Zauliční</t>
  </si>
  <si>
    <t>Přístavba garáže a školicí místnosti k hasičské zbrojnici Martinov</t>
  </si>
  <si>
    <t>Úprava stávajícího objektu hasičské zbrojnice</t>
  </si>
  <si>
    <t>Autobusová zastávka Skotnice</t>
  </si>
  <si>
    <t>Chodník na ul. 1. května</t>
  </si>
  <si>
    <t>Protipovodňová opatření MO Polanka nad Odrou</t>
  </si>
  <si>
    <t>ÚZ 3638</t>
  </si>
  <si>
    <t>Novostavba MŠ ve Svinově na ul. Stanislavského</t>
  </si>
  <si>
    <t>Rekonstrukce místnosti pro MěPO</t>
  </si>
  <si>
    <t>Multifunkční hřiště na ul. E. Rošického</t>
  </si>
  <si>
    <t>ÚZ 95</t>
  </si>
  <si>
    <t>Chodník podél ul. Karla Svobody</t>
  </si>
  <si>
    <t>ÚČELOVÁ INVESTIČNÍ DOTACE CELKEM</t>
  </si>
  <si>
    <t>rekonstrukce sociálních zařízení MŠ Matrosovova</t>
  </si>
  <si>
    <t>rekonstrukce vytápění dvou b.j. v BD č.p. 17 na ul. Hlučínské</t>
  </si>
  <si>
    <t>Rek. MK Rudná 53-65 vč. přilehlého chodníku</t>
  </si>
  <si>
    <t>výstavba chodníku ve VTP</t>
  </si>
  <si>
    <t>rekonstrukce sportovního areálu v O.-Hošťálkovicích-TD</t>
  </si>
  <si>
    <t xml:space="preserve">rekonstrukce a zřízení vjezdů na MK </t>
  </si>
  <si>
    <t>vysavač listí</t>
  </si>
  <si>
    <t>oplocení dětského hřiště</t>
  </si>
  <si>
    <t>Estetizace ul. Na Smyčce</t>
  </si>
  <si>
    <t>vzduchotechnika kuchyně v MŠ - PD</t>
  </si>
  <si>
    <t>odvodnění pozemku cvičné louky pro hasiče ve volnočas.centru</t>
  </si>
  <si>
    <t>Rozšíření  hasičské zbrojnice v Kr. Poli - PD</t>
  </si>
  <si>
    <t>Stavební úpravy školy č.p. 330</t>
  </si>
  <si>
    <t>vánoční osvětlení</t>
  </si>
  <si>
    <t>Regenerace sídliště Šalamouna 5A</t>
  </si>
  <si>
    <t>Radniční 69 - rekonstrukce nádvoří, opěrná zeď, schody</t>
  </si>
  <si>
    <t>Stavební úpravy bytového domu č.p. 545 - PD</t>
  </si>
  <si>
    <t>Zvýšení bezpečnosti pro pěší na ul. Pustkovecké</t>
  </si>
  <si>
    <t>Stavební úpravy chodníku na ul. Michálkovická</t>
  </si>
  <si>
    <t>Podzemní kontejnery na odpad</t>
  </si>
  <si>
    <t>Osvětlení přechodu ul. U Hrůbků</t>
  </si>
  <si>
    <t>Studie parku v O.-Nové Vsi</t>
  </si>
  <si>
    <t>Rekonstrukce střechy budovy technického dvora</t>
  </si>
  <si>
    <t>Oplochení areálu technického dvora</t>
  </si>
  <si>
    <t>Výkup pozemku parc.č. 713/4,23</t>
  </si>
  <si>
    <t>Regenerace sídliště Fifejdy II.-VI.etapa</t>
  </si>
  <si>
    <t>Parkoviště Ostrčilova před SVČ</t>
  </si>
  <si>
    <t>BS Panská 91 - zateplení, výměna oken, vstupních dveří</t>
  </si>
  <si>
    <t>Rekonstrukce ulice Na Zámčiskách</t>
  </si>
  <si>
    <t>Rozšíření manipulační plochy před hasičskou zbrojnicí</t>
  </si>
  <si>
    <t>Výstavba chodníku, obsluhujícího hřiště v O.-Martinově</t>
  </si>
  <si>
    <t>Zvýšení bezpečnosti na komunikacích - II.etapa - bezbariér.chodn.</t>
  </si>
  <si>
    <t>Zvýšení bezpečnosti na komunikacích - II.etapa, ul.Družební SO103</t>
  </si>
  <si>
    <t>Revitalizace soc. zařízení ZŠ - PD</t>
  </si>
  <si>
    <t>ZŠ Chrustova - interaktivní tabule a herní prvek</t>
  </si>
  <si>
    <t>Zahrada novostavby u MŠ na ul. Stanislavského</t>
  </si>
  <si>
    <t>PD</t>
  </si>
  <si>
    <t>PD - Komunitní centrum Všichni spolu</t>
  </si>
  <si>
    <t>souhrn faktur, doručeno 16.12.2016, poukaz o 2 003 137,80 Kč nižší (započítány faktury za PD)</t>
  </si>
  <si>
    <t>konvektomat MŠ Zelená</t>
  </si>
  <si>
    <t>ZŠ Gen. Janka - spodní hřiště</t>
  </si>
  <si>
    <t>ZŠ Gen. Janka - kamerové zajištění hřiště</t>
  </si>
  <si>
    <t>ZŠ rekuperace</t>
  </si>
  <si>
    <t>MŠ U Dvoru - konvektomat</t>
  </si>
  <si>
    <t>služební vozidlo</t>
  </si>
  <si>
    <t>rekonstrukce přístřešku autobusové zastávky u hřbitova, ul. Družební</t>
  </si>
  <si>
    <t>schválený rozpočet</t>
  </si>
  <si>
    <t>upravený rozpočet</t>
  </si>
  <si>
    <t>Rekonstrukce topného systému v tělocvičně budovy Rolnická 55</t>
  </si>
  <si>
    <t>Neúčelové investiční dotace městským obvodům z rozpočtu SMO  k 31. 12. 2016</t>
  </si>
  <si>
    <t>Účelové investiční dotace městským obvodům z rozpočtu SMO k 31. 12. 2016</t>
  </si>
  <si>
    <t>Příloha č. 20</t>
  </si>
  <si>
    <t>ZŠ Petřkovice - výstavba tělocvičny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</si>
</sst>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1" xfId="0" applyFont="1" applyFill="1" applyBorder="1" applyAlignment="1">
      <alignment horizontal="center" vertical="justify"/>
    </xf>
    <xf numFmtId="0" fontId="3" fillId="0" borderId="0" xfId="0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0" fontId="4" fillId="0" borderId="19" xfId="0" applyFont="1" applyFill="1" applyBorder="1" applyAlignment="1">
      <alignment horizontal="center" vertical="justify"/>
    </xf>
    <xf numFmtId="0" fontId="4" fillId="0" borderId="24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25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justify"/>
    </xf>
    <xf numFmtId="0" fontId="4" fillId="0" borderId="27" xfId="0" applyFont="1" applyFill="1" applyBorder="1" applyAlignment="1">
      <alignment horizontal="center" vertical="justify"/>
    </xf>
    <xf numFmtId="0" fontId="4" fillId="0" borderId="28" xfId="0" applyFont="1" applyFill="1" applyBorder="1"/>
    <xf numFmtId="4" fontId="4" fillId="0" borderId="29" xfId="0" applyNumberFormat="1" applyFont="1" applyFill="1" applyBorder="1"/>
    <xf numFmtId="4" fontId="4" fillId="0" borderId="30" xfId="0" applyNumberFormat="1" applyFont="1" applyFill="1" applyBorder="1" applyAlignment="1">
      <alignment horizontal="right"/>
    </xf>
    <xf numFmtId="0" fontId="4" fillId="0" borderId="16" xfId="0" applyFont="1" applyFill="1" applyBorder="1"/>
    <xf numFmtId="4" fontId="4" fillId="0" borderId="17" xfId="0" applyNumberFormat="1" applyFont="1" applyFill="1" applyBorder="1"/>
    <xf numFmtId="4" fontId="4" fillId="0" borderId="1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justify" vertical="justify"/>
    </xf>
    <xf numFmtId="0" fontId="1" fillId="0" borderId="0" xfId="0" applyFont="1" applyFill="1" applyBorder="1"/>
    <xf numFmtId="4" fontId="4" fillId="0" borderId="0" xfId="0" applyNumberFormat="1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3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" fontId="4" fillId="0" borderId="32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center"/>
    </xf>
    <xf numFmtId="4" fontId="4" fillId="0" borderId="36" xfId="0" applyNumberFormat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35" xfId="0" applyNumberFormat="1" applyFont="1" applyFill="1" applyBorder="1" applyAlignment="1">
      <alignment horizontal="right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4" fontId="1" fillId="0" borderId="38" xfId="0" applyNumberFormat="1" applyFont="1" applyFill="1" applyBorder="1" applyAlignment="1">
      <alignment horizontal="right" vertical="center"/>
    </xf>
    <xf numFmtId="4" fontId="1" fillId="0" borderId="40" xfId="0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/>
    </xf>
    <xf numFmtId="4" fontId="4" fillId="0" borderId="41" xfId="0" applyNumberFormat="1" applyFont="1" applyFill="1" applyBorder="1" applyAlignment="1">
      <alignment horizontal="right" vertical="center"/>
    </xf>
    <xf numFmtId="4" fontId="4" fillId="0" borderId="43" xfId="0" applyNumberFormat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4" fontId="4" fillId="0" borderId="44" xfId="0" applyNumberFormat="1" applyFont="1" applyFill="1" applyBorder="1" applyAlignment="1">
      <alignment horizontal="right" vertical="center"/>
    </xf>
    <xf numFmtId="4" fontId="4" fillId="0" borderId="31" xfId="0" applyNumberFormat="1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left" vertical="center"/>
    </xf>
    <xf numFmtId="4" fontId="1" fillId="0" borderId="33" xfId="0" applyNumberFormat="1" applyFont="1" applyFill="1" applyBorder="1" applyAlignment="1">
      <alignment horizontal="right" vertical="center"/>
    </xf>
    <xf numFmtId="4" fontId="1" fillId="0" borderId="30" xfId="0" applyNumberFormat="1" applyFont="1" applyFill="1" applyBorder="1" applyAlignment="1">
      <alignment horizontal="right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4" fontId="4" fillId="0" borderId="46" xfId="0" applyNumberFormat="1" applyFont="1" applyFill="1" applyBorder="1" applyAlignment="1">
      <alignment horizontal="right" vertical="center"/>
    </xf>
    <xf numFmtId="4" fontId="4" fillId="0" borderId="4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" fillId="0" borderId="35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4" fontId="4" fillId="0" borderId="49" xfId="0" applyNumberFormat="1" applyFont="1" applyFill="1" applyBorder="1" applyAlignment="1">
      <alignment horizontal="right" vertical="center"/>
    </xf>
    <xf numFmtId="4" fontId="4" fillId="0" borderId="51" xfId="0" applyNumberFormat="1" applyFont="1" applyFill="1" applyBorder="1" applyAlignment="1">
      <alignment horizontal="right" vertical="center"/>
    </xf>
    <xf numFmtId="0" fontId="1" fillId="0" borderId="3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4" fontId="2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4" fontId="0" fillId="0" borderId="0" xfId="0" applyNumberFormat="1" applyFill="1" applyBorder="1"/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justify" vertical="justify"/>
    </xf>
    <xf numFmtId="0" fontId="2" fillId="0" borderId="0" xfId="0" applyFont="1" applyFill="1" applyBorder="1" applyAlignment="1">
      <alignment horizontal="justify" vertical="justify"/>
    </xf>
    <xf numFmtId="3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/>
    <xf numFmtId="3" fontId="0" fillId="0" borderId="0" xfId="0" applyNumberFormat="1" applyFill="1" applyBorder="1"/>
    <xf numFmtId="1" fontId="0" fillId="0" borderId="0" xfId="0" applyNumberFormat="1" applyFill="1" applyBorder="1"/>
    <xf numFmtId="3" fontId="5" fillId="0" borderId="0" xfId="0" applyNumberFormat="1" applyFont="1" applyFill="1" applyBorder="1"/>
    <xf numFmtId="1" fontId="1" fillId="0" borderId="0" xfId="0" applyNumberFormat="1" applyFont="1" applyFill="1" applyBorder="1"/>
    <xf numFmtId="4" fontId="6" fillId="0" borderId="0" xfId="0" applyNumberFormat="1" applyFont="1" applyFill="1" applyBorder="1"/>
    <xf numFmtId="1" fontId="4" fillId="0" borderId="0" xfId="0" applyNumberFormat="1" applyFont="1" applyFill="1" applyBorder="1"/>
    <xf numFmtId="1" fontId="7" fillId="0" borderId="0" xfId="0" applyNumberFormat="1" applyFont="1" applyFill="1" applyBorder="1"/>
    <xf numFmtId="4" fontId="7" fillId="0" borderId="0" xfId="0" applyNumberFormat="1" applyFont="1" applyFill="1" applyBorder="1"/>
    <xf numFmtId="1" fontId="2" fillId="0" borderId="0" xfId="0" applyNumberFormat="1" applyFont="1" applyFill="1" applyBorder="1"/>
    <xf numFmtId="3" fontId="0" fillId="0" borderId="0" xfId="0" applyNumberFormat="1" applyFill="1" applyBorder="1" applyAlignment="1"/>
    <xf numFmtId="0" fontId="1" fillId="0" borderId="10" xfId="0" applyFont="1" applyFill="1" applyBorder="1" applyAlignment="1">
      <alignment horizontal="center" vertical="center"/>
    </xf>
    <xf numFmtId="1" fontId="6" fillId="0" borderId="0" xfId="0" applyNumberFormat="1" applyFont="1" applyFill="1" applyBorder="1"/>
    <xf numFmtId="3" fontId="6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0" xfId="0" applyFont="1"/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4" fontId="4" fillId="0" borderId="5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justify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/>
    <xf numFmtId="0" fontId="1" fillId="3" borderId="3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" fontId="1" fillId="3" borderId="35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2" borderId="3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4" fontId="1" fillId="3" borderId="33" xfId="0" applyNumberFormat="1" applyFont="1" applyFill="1" applyBorder="1" applyAlignment="1">
      <alignment horizontal="right" vertical="center"/>
    </xf>
    <xf numFmtId="4" fontId="1" fillId="3" borderId="30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justify"/>
    </xf>
    <xf numFmtId="0" fontId="1" fillId="0" borderId="55" xfId="0" applyFont="1" applyFill="1" applyBorder="1" applyAlignment="1">
      <alignment horizontal="center" vertical="justify"/>
    </xf>
    <xf numFmtId="0" fontId="1" fillId="0" borderId="55" xfId="0" applyFont="1" applyFill="1" applyBorder="1"/>
    <xf numFmtId="4" fontId="4" fillId="0" borderId="55" xfId="0" applyNumberFormat="1" applyFont="1" applyFill="1" applyBorder="1"/>
    <xf numFmtId="4" fontId="1" fillId="3" borderId="29" xfId="0" applyNumberFormat="1" applyFont="1" applyFill="1" applyBorder="1"/>
    <xf numFmtId="4" fontId="1" fillId="3" borderId="30" xfId="0" applyNumberFormat="1" applyFont="1" applyFill="1" applyBorder="1"/>
    <xf numFmtId="0" fontId="1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left" vertical="center"/>
    </xf>
    <xf numFmtId="4" fontId="4" fillId="0" borderId="56" xfId="0" applyNumberFormat="1" applyFont="1" applyFill="1" applyBorder="1" applyAlignment="1">
      <alignment horizontal="right" vertical="center"/>
    </xf>
    <xf numFmtId="4" fontId="4" fillId="0" borderId="58" xfId="0" applyNumberFormat="1" applyFont="1" applyFill="1" applyBorder="1" applyAlignment="1">
      <alignment horizontal="right" vertical="center"/>
    </xf>
    <xf numFmtId="4" fontId="1" fillId="3" borderId="52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justify"/>
    </xf>
    <xf numFmtId="4" fontId="4" fillId="0" borderId="62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 vertical="justify"/>
    </xf>
    <xf numFmtId="4" fontId="4" fillId="0" borderId="62" xfId="0" applyNumberFormat="1" applyFont="1" applyFill="1" applyBorder="1" applyAlignment="1">
      <alignment horizontal="right" vertical="center"/>
    </xf>
    <xf numFmtId="0" fontId="1" fillId="0" borderId="63" xfId="0" applyFont="1" applyFill="1" applyBorder="1" applyAlignment="1">
      <alignment horizontal="center" vertical="justify"/>
    </xf>
    <xf numFmtId="4" fontId="4" fillId="0" borderId="64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justify" vertical="center"/>
    </xf>
    <xf numFmtId="0" fontId="1" fillId="3" borderId="60" xfId="0" applyFont="1" applyFill="1" applyBorder="1" applyAlignment="1">
      <alignment horizontal="justify" vertical="center"/>
    </xf>
    <xf numFmtId="0" fontId="0" fillId="3" borderId="61" xfId="0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justify" vertical="justify"/>
    </xf>
    <xf numFmtId="0" fontId="1" fillId="3" borderId="27" xfId="0" applyFont="1" applyFill="1" applyBorder="1" applyAlignment="1">
      <alignment horizontal="justify" vertical="justify"/>
    </xf>
    <xf numFmtId="0" fontId="0" fillId="3" borderId="28" xfId="0" applyFill="1" applyBorder="1" applyAlignment="1"/>
    <xf numFmtId="0" fontId="3" fillId="0" borderId="0" xfId="0" applyFont="1" applyFill="1" applyAlignment="1">
      <alignment horizontal="left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3"/>
  <sheetViews>
    <sheetView tabSelected="1" workbookViewId="0">
      <selection activeCell="F1" sqref="F1"/>
    </sheetView>
  </sheetViews>
  <sheetFormatPr defaultRowHeight="12.75" x14ac:dyDescent="0.2"/>
  <cols>
    <col min="1" max="2" width="9.140625" style="107"/>
    <col min="3" max="3" width="55.5703125" style="107" customWidth="1"/>
    <col min="4" max="5" width="15.140625" style="107" customWidth="1"/>
    <col min="6" max="6" width="15.140625" style="3" customWidth="1"/>
    <col min="7" max="7" width="16.42578125" style="108" customWidth="1"/>
    <col min="8" max="8" width="14" style="109" bestFit="1" customWidth="1"/>
    <col min="9" max="9" width="14" style="109" customWidth="1"/>
    <col min="10" max="12" width="14" style="85" customWidth="1"/>
    <col min="13" max="13" width="9.140625" style="82"/>
    <col min="14" max="27" width="9.140625" style="132"/>
  </cols>
  <sheetData>
    <row r="1" spans="1:12" ht="15" x14ac:dyDescent="0.2">
      <c r="A1" s="2" t="s">
        <v>169</v>
      </c>
      <c r="B1" s="2"/>
      <c r="C1" s="3"/>
      <c r="D1" s="3"/>
      <c r="E1" s="3"/>
      <c r="F1" s="4" t="s">
        <v>171</v>
      </c>
    </row>
    <row r="2" spans="1:12" ht="13.5" thickBot="1" x14ac:dyDescent="0.25">
      <c r="F2" s="107"/>
      <c r="G2" s="82"/>
      <c r="H2" s="82"/>
      <c r="I2" s="82"/>
      <c r="J2" s="82"/>
      <c r="K2" s="82"/>
      <c r="L2" s="82"/>
    </row>
    <row r="3" spans="1:12" x14ac:dyDescent="0.2">
      <c r="A3" s="188" t="s">
        <v>0</v>
      </c>
      <c r="B3" s="5"/>
      <c r="C3" s="175" t="s">
        <v>24</v>
      </c>
      <c r="D3" s="191" t="s">
        <v>166</v>
      </c>
      <c r="E3" s="191" t="s">
        <v>167</v>
      </c>
      <c r="F3" s="186" t="s">
        <v>25</v>
      </c>
      <c r="H3" s="169"/>
      <c r="I3" s="169"/>
      <c r="J3" s="177"/>
    </row>
    <row r="4" spans="1:12" ht="13.5" thickBot="1" x14ac:dyDescent="0.25">
      <c r="A4" s="189"/>
      <c r="B4" s="6"/>
      <c r="C4" s="190"/>
      <c r="D4" s="192"/>
      <c r="E4" s="192"/>
      <c r="F4" s="193"/>
      <c r="H4" s="169"/>
      <c r="I4" s="169"/>
      <c r="J4" s="177"/>
      <c r="K4" s="34"/>
      <c r="L4" s="34"/>
    </row>
    <row r="5" spans="1:12" x14ac:dyDescent="0.2">
      <c r="A5" s="118" t="s">
        <v>1</v>
      </c>
      <c r="B5" s="7"/>
      <c r="C5" s="8"/>
      <c r="D5" s="145">
        <v>12342000</v>
      </c>
      <c r="E5" s="145">
        <v>12342000</v>
      </c>
      <c r="F5" s="131">
        <f>SUM(F6:F9)</f>
        <v>12342000</v>
      </c>
      <c r="G5" s="95"/>
      <c r="H5" s="104"/>
      <c r="I5" s="104"/>
      <c r="J5" s="111"/>
      <c r="K5" s="35"/>
      <c r="L5" s="35"/>
    </row>
    <row r="6" spans="1:12" hidden="1" x14ac:dyDescent="0.2">
      <c r="A6" s="9"/>
      <c r="B6" s="10"/>
      <c r="C6" s="11" t="s">
        <v>26</v>
      </c>
      <c r="D6" s="12"/>
      <c r="E6" s="12"/>
      <c r="F6" s="13">
        <f>SUM(678514.47+675029.78+314455.75)</f>
        <v>1668000</v>
      </c>
      <c r="H6" s="85"/>
      <c r="I6" s="104"/>
      <c r="J6" s="109"/>
    </row>
    <row r="7" spans="1:12" hidden="1" x14ac:dyDescent="0.2">
      <c r="A7" s="14"/>
      <c r="B7" s="15"/>
      <c r="C7" s="16" t="s">
        <v>27</v>
      </c>
      <c r="D7" s="17"/>
      <c r="E7" s="17"/>
      <c r="F7" s="18">
        <f>SUM(1397947.73+2216160.72+1998423.35+2277468.2)</f>
        <v>7890000.0000000009</v>
      </c>
      <c r="H7" s="85"/>
      <c r="I7" s="104"/>
      <c r="J7" s="109"/>
    </row>
    <row r="8" spans="1:12" hidden="1" x14ac:dyDescent="0.2">
      <c r="A8" s="122"/>
      <c r="B8" s="123"/>
      <c r="C8" s="21" t="s">
        <v>28</v>
      </c>
      <c r="D8" s="22"/>
      <c r="E8" s="22"/>
      <c r="F8" s="23">
        <f>86140.68+264040.34</f>
        <v>350181.02</v>
      </c>
      <c r="H8" s="85"/>
      <c r="I8" s="104"/>
      <c r="J8" s="109"/>
    </row>
    <row r="9" spans="1:12" ht="13.5" hidden="1" thickBot="1" x14ac:dyDescent="0.25">
      <c r="A9" s="14"/>
      <c r="B9" s="15"/>
      <c r="C9" s="16" t="s">
        <v>146</v>
      </c>
      <c r="D9" s="17"/>
      <c r="E9" s="17"/>
      <c r="F9" s="18">
        <v>2433818.98</v>
      </c>
      <c r="H9" s="85"/>
      <c r="I9" s="104"/>
      <c r="J9" s="109"/>
    </row>
    <row r="10" spans="1:12" x14ac:dyDescent="0.2">
      <c r="A10" s="163" t="s">
        <v>11</v>
      </c>
      <c r="B10" s="1"/>
      <c r="C10" s="146"/>
      <c r="D10" s="19">
        <v>9697000</v>
      </c>
      <c r="E10" s="19">
        <f>9697000-5470000</f>
        <v>4227000</v>
      </c>
      <c r="F10" s="164">
        <f>SUM(F11:F13)</f>
        <v>4223740.5</v>
      </c>
      <c r="G10" s="95"/>
      <c r="H10" s="35"/>
      <c r="I10" s="104"/>
      <c r="J10" s="111"/>
      <c r="K10" s="35"/>
      <c r="L10" s="35"/>
    </row>
    <row r="11" spans="1:12" hidden="1" x14ac:dyDescent="0.2">
      <c r="A11" s="165"/>
      <c r="B11" s="128"/>
      <c r="C11" s="147" t="s">
        <v>29</v>
      </c>
      <c r="D11" s="19"/>
      <c r="E11" s="19"/>
      <c r="F11" s="164">
        <f>1125727.35+2611433.15</f>
        <v>3737160.5</v>
      </c>
      <c r="G11" s="96"/>
      <c r="H11" s="34"/>
      <c r="I11" s="104"/>
      <c r="J11" s="113"/>
      <c r="K11" s="34"/>
      <c r="L11" s="34"/>
    </row>
    <row r="12" spans="1:12" hidden="1" x14ac:dyDescent="0.2">
      <c r="A12" s="165"/>
      <c r="B12" s="128"/>
      <c r="C12" s="147" t="s">
        <v>30</v>
      </c>
      <c r="D12" s="19"/>
      <c r="E12" s="19"/>
      <c r="F12" s="164">
        <v>126000</v>
      </c>
      <c r="G12" s="95"/>
      <c r="H12" s="35"/>
      <c r="I12" s="104"/>
      <c r="J12" s="111"/>
      <c r="K12" s="35"/>
      <c r="L12" s="35"/>
    </row>
    <row r="13" spans="1:12" hidden="1" x14ac:dyDescent="0.2">
      <c r="A13" s="163"/>
      <c r="B13" s="1"/>
      <c r="C13" s="147" t="s">
        <v>31</v>
      </c>
      <c r="D13" s="19"/>
      <c r="E13" s="19"/>
      <c r="F13" s="164">
        <f>SUM(181500+179080)</f>
        <v>360580</v>
      </c>
      <c r="G13" s="95"/>
      <c r="H13" s="35"/>
      <c r="I13" s="104"/>
      <c r="J13" s="111"/>
      <c r="K13" s="35"/>
      <c r="L13" s="35"/>
    </row>
    <row r="14" spans="1:12" x14ac:dyDescent="0.2">
      <c r="A14" s="163" t="s">
        <v>5</v>
      </c>
      <c r="B14" s="1"/>
      <c r="C14" s="148"/>
      <c r="D14" s="22">
        <v>28368000</v>
      </c>
      <c r="E14" s="22">
        <f>28368000-17887000</f>
        <v>10481000</v>
      </c>
      <c r="F14" s="166">
        <f>SUM(F15:F19)</f>
        <v>10477268.51</v>
      </c>
      <c r="G14" s="95"/>
      <c r="H14" s="35"/>
      <c r="I14" s="104"/>
      <c r="J14" s="111"/>
      <c r="K14" s="35"/>
      <c r="L14" s="35"/>
    </row>
    <row r="15" spans="1:12" hidden="1" x14ac:dyDescent="0.2">
      <c r="A15" s="165"/>
      <c r="B15" s="128"/>
      <c r="C15" s="149" t="s">
        <v>32</v>
      </c>
      <c r="D15" s="22"/>
      <c r="E15" s="22"/>
      <c r="F15" s="166">
        <f>1092258.24+9320+1815</f>
        <v>1103393.24</v>
      </c>
      <c r="G15" s="96"/>
      <c r="H15" s="34"/>
      <c r="I15" s="104"/>
      <c r="J15" s="113"/>
      <c r="K15" s="34"/>
      <c r="L15" s="34"/>
    </row>
    <row r="16" spans="1:12" hidden="1" x14ac:dyDescent="0.2">
      <c r="A16" s="165"/>
      <c r="B16" s="128"/>
      <c r="C16" s="149" t="s">
        <v>122</v>
      </c>
      <c r="D16" s="22"/>
      <c r="E16" s="22"/>
      <c r="F16" s="166">
        <f>SUM(10648+375726.54+12920+897119.71)</f>
        <v>1296414.25</v>
      </c>
      <c r="G16" s="96"/>
      <c r="H16" s="34"/>
      <c r="I16" s="104"/>
      <c r="J16" s="113"/>
      <c r="K16" s="34"/>
      <c r="L16" s="34"/>
    </row>
    <row r="17" spans="1:12" hidden="1" x14ac:dyDescent="0.2">
      <c r="A17" s="165"/>
      <c r="B17" s="128"/>
      <c r="C17" s="149" t="s">
        <v>33</v>
      </c>
      <c r="D17" s="22"/>
      <c r="E17" s="22"/>
      <c r="F17" s="166">
        <f>51425+2643986.49+3600</f>
        <v>2699011.49</v>
      </c>
      <c r="G17" s="96"/>
      <c r="H17" s="34"/>
      <c r="I17" s="104"/>
      <c r="J17" s="113"/>
      <c r="K17" s="34"/>
      <c r="L17" s="34"/>
    </row>
    <row r="18" spans="1:12" hidden="1" x14ac:dyDescent="0.2">
      <c r="A18" s="165"/>
      <c r="B18" s="128"/>
      <c r="C18" s="149" t="s">
        <v>34</v>
      </c>
      <c r="D18" s="22"/>
      <c r="E18" s="22"/>
      <c r="F18" s="166">
        <f>746920.11+1342873.49+52390.5+612468.89+2210394.85</f>
        <v>4965047.84</v>
      </c>
      <c r="G18" s="96"/>
      <c r="H18" s="34"/>
      <c r="I18" s="104"/>
      <c r="J18" s="113"/>
      <c r="K18" s="34"/>
      <c r="L18" s="34"/>
    </row>
    <row r="19" spans="1:12" hidden="1" x14ac:dyDescent="0.2">
      <c r="A19" s="165"/>
      <c r="B19" s="128"/>
      <c r="C19" s="149" t="s">
        <v>35</v>
      </c>
      <c r="D19" s="22"/>
      <c r="E19" s="22"/>
      <c r="F19" s="166">
        <v>413401.69</v>
      </c>
      <c r="G19" s="110"/>
      <c r="H19" s="34"/>
      <c r="I19" s="104"/>
      <c r="J19" s="113"/>
      <c r="K19" s="34"/>
      <c r="L19" s="34"/>
    </row>
    <row r="20" spans="1:12" x14ac:dyDescent="0.2">
      <c r="A20" s="163" t="s">
        <v>2</v>
      </c>
      <c r="B20" s="1"/>
      <c r="C20" s="146"/>
      <c r="D20" s="19">
        <v>17624000</v>
      </c>
      <c r="E20" s="19">
        <f>17624000-5000000</f>
        <v>12624000</v>
      </c>
      <c r="F20" s="164">
        <f>SUM(F21:F25)</f>
        <v>12624000</v>
      </c>
      <c r="G20" s="95"/>
      <c r="H20" s="35"/>
      <c r="I20" s="104"/>
      <c r="J20" s="111"/>
      <c r="K20" s="35"/>
      <c r="L20" s="35"/>
    </row>
    <row r="21" spans="1:12" hidden="1" x14ac:dyDescent="0.2">
      <c r="A21" s="163"/>
      <c r="B21" s="128"/>
      <c r="C21" s="147" t="s">
        <v>156</v>
      </c>
      <c r="D21" s="19"/>
      <c r="E21" s="19"/>
      <c r="F21" s="164">
        <v>386655</v>
      </c>
      <c r="G21" s="95"/>
      <c r="H21" s="35"/>
      <c r="I21" s="104"/>
      <c r="J21" s="111"/>
      <c r="K21" s="35"/>
      <c r="L21" s="35"/>
    </row>
    <row r="22" spans="1:12" hidden="1" x14ac:dyDescent="0.2">
      <c r="A22" s="165"/>
      <c r="B22" s="128"/>
      <c r="C22" s="147" t="s">
        <v>156</v>
      </c>
      <c r="D22" s="19"/>
      <c r="E22" s="19"/>
      <c r="F22" s="164">
        <v>1338061.8</v>
      </c>
      <c r="G22" s="96"/>
      <c r="H22" s="34"/>
      <c r="I22" s="104"/>
      <c r="J22" s="113"/>
      <c r="K22" s="35"/>
      <c r="L22" s="35"/>
    </row>
    <row r="23" spans="1:12" hidden="1" x14ac:dyDescent="0.2">
      <c r="A23" s="165"/>
      <c r="B23" s="128"/>
      <c r="C23" s="147" t="s">
        <v>157</v>
      </c>
      <c r="D23" s="19"/>
      <c r="E23" s="19"/>
      <c r="F23" s="164">
        <f>SUM(278421)</f>
        <v>278421</v>
      </c>
      <c r="G23" s="95"/>
      <c r="H23" s="35"/>
      <c r="I23" s="104"/>
      <c r="J23" s="111"/>
      <c r="K23" s="35"/>
      <c r="L23" s="35"/>
    </row>
    <row r="24" spans="1:12" hidden="1" x14ac:dyDescent="0.2">
      <c r="A24" s="165"/>
      <c r="B24" s="128"/>
      <c r="C24" s="147" t="s">
        <v>158</v>
      </c>
      <c r="D24" s="19"/>
      <c r="E24" s="19"/>
      <c r="F24" s="164">
        <v>3386091.06</v>
      </c>
      <c r="G24" s="95"/>
      <c r="H24" s="35"/>
      <c r="I24" s="104"/>
      <c r="J24" s="111"/>
      <c r="K24" s="35"/>
      <c r="L24" s="35"/>
    </row>
    <row r="25" spans="1:12" hidden="1" x14ac:dyDescent="0.2">
      <c r="A25" s="163"/>
      <c r="B25" s="1"/>
      <c r="C25" s="147" t="s">
        <v>36</v>
      </c>
      <c r="D25" s="19"/>
      <c r="E25" s="19"/>
      <c r="F25" s="164">
        <f>SUM(6497796.6+304898.55+432075.99)</f>
        <v>7234771.1399999997</v>
      </c>
      <c r="G25" s="95"/>
      <c r="H25" s="34"/>
      <c r="I25" s="104"/>
      <c r="J25" s="113"/>
      <c r="K25" s="34"/>
      <c r="L25" s="34"/>
    </row>
    <row r="26" spans="1:12" x14ac:dyDescent="0.2">
      <c r="A26" s="163" t="s">
        <v>7</v>
      </c>
      <c r="B26" s="1"/>
      <c r="C26" s="146"/>
      <c r="D26" s="19">
        <v>1000000</v>
      </c>
      <c r="E26" s="19">
        <v>1000000</v>
      </c>
      <c r="F26" s="164">
        <f>SUM(F27:F28)</f>
        <v>1000000</v>
      </c>
      <c r="G26" s="95"/>
      <c r="H26" s="35"/>
      <c r="I26" s="104"/>
      <c r="J26" s="111"/>
      <c r="K26" s="35"/>
      <c r="L26" s="35"/>
    </row>
    <row r="27" spans="1:12" hidden="1" x14ac:dyDescent="0.2">
      <c r="A27" s="165"/>
      <c r="B27" s="128"/>
      <c r="C27" s="147" t="s">
        <v>37</v>
      </c>
      <c r="D27" s="19"/>
      <c r="E27" s="19"/>
      <c r="F27" s="164">
        <v>755159</v>
      </c>
      <c r="G27" s="96"/>
      <c r="H27" s="34"/>
      <c r="I27" s="104"/>
      <c r="J27" s="113"/>
      <c r="K27" s="34"/>
      <c r="L27" s="34"/>
    </row>
    <row r="28" spans="1:12" hidden="1" x14ac:dyDescent="0.2">
      <c r="A28" s="165"/>
      <c r="B28" s="128"/>
      <c r="C28" s="147" t="s">
        <v>38</v>
      </c>
      <c r="D28" s="19"/>
      <c r="E28" s="19"/>
      <c r="F28" s="164">
        <f>SUM(1000000-755159)</f>
        <v>244841</v>
      </c>
      <c r="G28" s="96"/>
      <c r="H28" s="34"/>
      <c r="I28" s="104"/>
      <c r="J28" s="113"/>
      <c r="K28" s="34"/>
      <c r="L28" s="34"/>
    </row>
    <row r="29" spans="1:12" x14ac:dyDescent="0.2">
      <c r="A29" s="163" t="s">
        <v>14</v>
      </c>
      <c r="B29" s="1"/>
      <c r="C29" s="146"/>
      <c r="D29" s="19">
        <v>3106000</v>
      </c>
      <c r="E29" s="19">
        <v>3106000</v>
      </c>
      <c r="F29" s="164">
        <f>SUM(F30:F34)</f>
        <v>3106000</v>
      </c>
      <c r="G29" s="95"/>
      <c r="H29" s="35"/>
      <c r="I29" s="104"/>
      <c r="J29" s="111"/>
      <c r="K29" s="35"/>
      <c r="L29" s="35"/>
    </row>
    <row r="30" spans="1:12" hidden="1" x14ac:dyDescent="0.2">
      <c r="A30" s="165"/>
      <c r="B30" s="128"/>
      <c r="C30" s="147" t="s">
        <v>39</v>
      </c>
      <c r="D30" s="19"/>
      <c r="E30" s="19"/>
      <c r="F30" s="164">
        <v>722400</v>
      </c>
      <c r="G30" s="96"/>
      <c r="H30" s="34"/>
      <c r="I30" s="104"/>
      <c r="J30" s="113"/>
      <c r="K30" s="34"/>
      <c r="L30" s="34"/>
    </row>
    <row r="31" spans="1:12" hidden="1" x14ac:dyDescent="0.2">
      <c r="A31" s="165"/>
      <c r="B31" s="128"/>
      <c r="C31" s="147" t="s">
        <v>40</v>
      </c>
      <c r="D31" s="19"/>
      <c r="E31" s="19"/>
      <c r="F31" s="164">
        <v>62000</v>
      </c>
      <c r="G31" s="96"/>
      <c r="H31" s="34"/>
      <c r="I31" s="104"/>
      <c r="J31" s="113"/>
      <c r="K31" s="34"/>
      <c r="L31" s="34"/>
    </row>
    <row r="32" spans="1:12" hidden="1" x14ac:dyDescent="0.2">
      <c r="A32" s="165"/>
      <c r="B32" s="128"/>
      <c r="C32" s="147" t="s">
        <v>41</v>
      </c>
      <c r="D32" s="19"/>
      <c r="E32" s="19"/>
      <c r="F32" s="164">
        <v>2003952.02</v>
      </c>
      <c r="G32" s="96"/>
      <c r="H32" s="34"/>
      <c r="I32" s="104"/>
      <c r="J32" s="113"/>
      <c r="K32" s="34"/>
      <c r="L32" s="34"/>
    </row>
    <row r="33" spans="1:27" hidden="1" x14ac:dyDescent="0.2">
      <c r="A33" s="165"/>
      <c r="B33" s="128"/>
      <c r="C33" s="147" t="s">
        <v>42</v>
      </c>
      <c r="D33" s="19"/>
      <c r="E33" s="19"/>
      <c r="F33" s="164">
        <v>252890</v>
      </c>
      <c r="G33" s="96"/>
      <c r="H33" s="34"/>
      <c r="I33" s="104"/>
      <c r="J33" s="113"/>
      <c r="K33" s="34"/>
      <c r="L33" s="34"/>
    </row>
    <row r="34" spans="1:27" hidden="1" x14ac:dyDescent="0.2">
      <c r="A34" s="165"/>
      <c r="B34" s="128"/>
      <c r="C34" s="147" t="s">
        <v>43</v>
      </c>
      <c r="D34" s="19"/>
      <c r="E34" s="19"/>
      <c r="F34" s="164">
        <v>64757.98</v>
      </c>
      <c r="G34" s="96"/>
      <c r="H34" s="34"/>
      <c r="I34" s="104"/>
      <c r="J34" s="113"/>
      <c r="K34" s="34"/>
      <c r="L34" s="34"/>
    </row>
    <row r="35" spans="1:27" x14ac:dyDescent="0.2">
      <c r="A35" s="163" t="s">
        <v>17</v>
      </c>
      <c r="B35" s="1"/>
      <c r="C35" s="146"/>
      <c r="D35" s="19">
        <v>2108000</v>
      </c>
      <c r="E35" s="19">
        <v>2108000</v>
      </c>
      <c r="F35" s="164">
        <f>SUM(F36)</f>
        <v>2108000</v>
      </c>
      <c r="G35" s="95"/>
      <c r="H35" s="35"/>
      <c r="I35" s="104"/>
      <c r="J35" s="111"/>
      <c r="K35" s="35"/>
      <c r="L35" s="35"/>
    </row>
    <row r="36" spans="1:27" s="124" customFormat="1" hidden="1" x14ac:dyDescent="0.2">
      <c r="A36" s="165"/>
      <c r="B36" s="128"/>
      <c r="C36" s="147" t="s">
        <v>148</v>
      </c>
      <c r="D36" s="19"/>
      <c r="E36" s="19"/>
      <c r="F36" s="164">
        <v>2108000</v>
      </c>
      <c r="G36" s="96"/>
      <c r="H36" s="34"/>
      <c r="I36" s="88"/>
      <c r="J36" s="113"/>
      <c r="K36" s="34"/>
      <c r="L36" s="34"/>
      <c r="M36" s="37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</row>
    <row r="37" spans="1:27" x14ac:dyDescent="0.2">
      <c r="A37" s="163" t="s">
        <v>15</v>
      </c>
      <c r="B37" s="1"/>
      <c r="C37" s="146"/>
      <c r="D37" s="19">
        <v>1000000</v>
      </c>
      <c r="E37" s="19">
        <f>1000000-387000</f>
        <v>613000</v>
      </c>
      <c r="F37" s="164">
        <f>SUM(F38:F44)</f>
        <v>612091.97</v>
      </c>
      <c r="G37" s="95"/>
      <c r="H37" s="35"/>
      <c r="I37" s="104"/>
      <c r="J37" s="111"/>
      <c r="K37" s="35"/>
      <c r="L37" s="35"/>
    </row>
    <row r="38" spans="1:27" hidden="1" x14ac:dyDescent="0.2">
      <c r="A38" s="163"/>
      <c r="B38" s="1"/>
      <c r="C38" s="147" t="s">
        <v>44</v>
      </c>
      <c r="D38" s="19"/>
      <c r="E38" s="19"/>
      <c r="F38" s="164">
        <v>119280</v>
      </c>
      <c r="G38" s="95"/>
      <c r="H38" s="35"/>
      <c r="I38" s="104"/>
      <c r="J38" s="111"/>
      <c r="K38" s="35"/>
      <c r="L38" s="35"/>
    </row>
    <row r="39" spans="1:27" hidden="1" x14ac:dyDescent="0.2">
      <c r="A39" s="163"/>
      <c r="B39" s="1"/>
      <c r="C39" s="147" t="s">
        <v>123</v>
      </c>
      <c r="D39" s="19"/>
      <c r="E39" s="19"/>
      <c r="F39" s="164">
        <v>160731.97</v>
      </c>
      <c r="G39" s="95"/>
      <c r="H39" s="35"/>
      <c r="I39" s="104"/>
      <c r="J39" s="111"/>
      <c r="K39" s="35"/>
      <c r="L39" s="35"/>
    </row>
    <row r="40" spans="1:27" hidden="1" x14ac:dyDescent="0.2">
      <c r="A40" s="163"/>
      <c r="B40" s="1"/>
      <c r="C40" s="147" t="s">
        <v>45</v>
      </c>
      <c r="D40" s="19"/>
      <c r="E40" s="19"/>
      <c r="F40" s="164">
        <v>54110</v>
      </c>
      <c r="G40" s="95"/>
      <c r="H40" s="35"/>
      <c r="I40" s="104"/>
      <c r="J40" s="111"/>
      <c r="K40" s="35"/>
      <c r="L40" s="35"/>
    </row>
    <row r="41" spans="1:27" hidden="1" x14ac:dyDescent="0.2">
      <c r="A41" s="163"/>
      <c r="B41" s="1"/>
      <c r="C41" s="147" t="s">
        <v>46</v>
      </c>
      <c r="D41" s="19"/>
      <c r="E41" s="19"/>
      <c r="F41" s="164">
        <v>16940</v>
      </c>
      <c r="G41" s="95"/>
      <c r="H41" s="35"/>
      <c r="I41" s="104"/>
      <c r="J41" s="111"/>
      <c r="K41" s="35"/>
      <c r="L41" s="35"/>
    </row>
    <row r="42" spans="1:27" hidden="1" x14ac:dyDescent="0.2">
      <c r="A42" s="163"/>
      <c r="B42" s="1"/>
      <c r="C42" s="147" t="s">
        <v>137</v>
      </c>
      <c r="D42" s="19"/>
      <c r="E42" s="19"/>
      <c r="F42" s="164">
        <v>78650</v>
      </c>
      <c r="G42" s="95"/>
      <c r="H42" s="35"/>
      <c r="I42" s="104"/>
      <c r="J42" s="111"/>
      <c r="K42" s="35"/>
      <c r="L42" s="35"/>
    </row>
    <row r="43" spans="1:27" hidden="1" x14ac:dyDescent="0.2">
      <c r="A43" s="163"/>
      <c r="B43" s="1"/>
      <c r="C43" s="147" t="s">
        <v>47</v>
      </c>
      <c r="D43" s="19"/>
      <c r="E43" s="19"/>
      <c r="F43" s="164">
        <v>20500</v>
      </c>
      <c r="G43" s="95"/>
      <c r="H43" s="35"/>
      <c r="I43" s="104"/>
      <c r="J43" s="111"/>
      <c r="K43" s="35"/>
      <c r="L43" s="35"/>
    </row>
    <row r="44" spans="1:27" hidden="1" x14ac:dyDescent="0.2">
      <c r="A44" s="163"/>
      <c r="B44" s="1"/>
      <c r="C44" s="147" t="s">
        <v>48</v>
      </c>
      <c r="D44" s="19"/>
      <c r="E44" s="19"/>
      <c r="F44" s="164">
        <v>161880</v>
      </c>
      <c r="G44" s="95"/>
      <c r="H44" s="35"/>
      <c r="I44" s="104"/>
      <c r="J44" s="111"/>
      <c r="K44" s="35"/>
      <c r="L44" s="35"/>
    </row>
    <row r="45" spans="1:27" x14ac:dyDescent="0.2">
      <c r="A45" s="163" t="s">
        <v>18</v>
      </c>
      <c r="B45" s="1"/>
      <c r="C45" s="146"/>
      <c r="D45" s="19">
        <v>4201000</v>
      </c>
      <c r="E45" s="19">
        <v>4201000</v>
      </c>
      <c r="F45" s="164">
        <f>SUM(F46:F52)</f>
        <v>4201000</v>
      </c>
      <c r="G45" s="95"/>
      <c r="H45" s="35"/>
      <c r="I45" s="104"/>
      <c r="J45" s="111"/>
      <c r="K45" s="35"/>
      <c r="L45" s="35"/>
    </row>
    <row r="46" spans="1:27" hidden="1" x14ac:dyDescent="0.2">
      <c r="A46" s="163"/>
      <c r="B46" s="1"/>
      <c r="C46" s="147" t="s">
        <v>120</v>
      </c>
      <c r="D46" s="19"/>
      <c r="E46" s="19"/>
      <c r="F46" s="164">
        <f>SUM(1182274.05)</f>
        <v>1182274.05</v>
      </c>
      <c r="G46" s="95"/>
      <c r="H46" s="35"/>
      <c r="I46" s="104"/>
      <c r="J46" s="111"/>
      <c r="K46" s="35"/>
      <c r="L46" s="35"/>
    </row>
    <row r="47" spans="1:27" hidden="1" x14ac:dyDescent="0.2">
      <c r="A47" s="163"/>
      <c r="B47" s="1"/>
      <c r="C47" s="147" t="s">
        <v>159</v>
      </c>
      <c r="D47" s="19"/>
      <c r="E47" s="19"/>
      <c r="F47" s="164">
        <v>215900</v>
      </c>
      <c r="G47" s="95"/>
      <c r="H47" s="35"/>
      <c r="I47" s="104"/>
      <c r="J47" s="111"/>
      <c r="K47" s="35"/>
      <c r="L47" s="35"/>
    </row>
    <row r="48" spans="1:27" hidden="1" x14ac:dyDescent="0.2">
      <c r="A48" s="163"/>
      <c r="B48" s="1"/>
      <c r="C48" s="147" t="s">
        <v>160</v>
      </c>
      <c r="D48" s="19"/>
      <c r="E48" s="19"/>
      <c r="F48" s="164">
        <v>185410.25</v>
      </c>
      <c r="G48" s="95"/>
      <c r="H48" s="35"/>
      <c r="I48" s="104"/>
      <c r="J48" s="111"/>
      <c r="K48" s="35"/>
      <c r="L48" s="35"/>
    </row>
    <row r="49" spans="1:12" hidden="1" x14ac:dyDescent="0.2">
      <c r="A49" s="163"/>
      <c r="B49" s="1"/>
      <c r="C49" s="147" t="s">
        <v>161</v>
      </c>
      <c r="D49" s="19"/>
      <c r="E49" s="19"/>
      <c r="F49" s="164">
        <v>215359</v>
      </c>
      <c r="G49" s="95"/>
      <c r="H49" s="35"/>
      <c r="I49" s="104"/>
      <c r="J49" s="111"/>
      <c r="K49" s="35"/>
      <c r="L49" s="35"/>
    </row>
    <row r="50" spans="1:12" hidden="1" x14ac:dyDescent="0.2">
      <c r="A50" s="163"/>
      <c r="B50" s="1"/>
      <c r="C50" s="147" t="s">
        <v>162</v>
      </c>
      <c r="D50" s="19"/>
      <c r="E50" s="19"/>
      <c r="F50" s="164">
        <v>11013.93</v>
      </c>
      <c r="G50" s="95"/>
      <c r="H50" s="35"/>
      <c r="I50" s="104"/>
      <c r="J50" s="111"/>
      <c r="K50" s="35"/>
      <c r="L50" s="35"/>
    </row>
    <row r="51" spans="1:12" hidden="1" x14ac:dyDescent="0.2">
      <c r="A51" s="163"/>
      <c r="B51" s="1"/>
      <c r="C51" s="147" t="s">
        <v>163</v>
      </c>
      <c r="D51" s="19"/>
      <c r="E51" s="19"/>
      <c r="F51" s="164">
        <v>229850</v>
      </c>
      <c r="G51" s="95"/>
      <c r="H51" s="35"/>
      <c r="I51" s="104"/>
      <c r="J51" s="111"/>
      <c r="K51" s="35"/>
      <c r="L51" s="35"/>
    </row>
    <row r="52" spans="1:12" hidden="1" x14ac:dyDescent="0.2">
      <c r="A52" s="165"/>
      <c r="B52" s="128"/>
      <c r="C52" s="147" t="s">
        <v>49</v>
      </c>
      <c r="D52" s="19"/>
      <c r="E52" s="19"/>
      <c r="F52" s="164">
        <f>695743.74+447800.41+1017648.62</f>
        <v>2161192.77</v>
      </c>
      <c r="G52" s="95"/>
      <c r="H52" s="35"/>
      <c r="I52" s="104"/>
      <c r="J52" s="111"/>
      <c r="K52" s="35"/>
      <c r="L52" s="35"/>
    </row>
    <row r="53" spans="1:12" x14ac:dyDescent="0.2">
      <c r="A53" s="163" t="s">
        <v>4</v>
      </c>
      <c r="B53" s="1"/>
      <c r="C53" s="146"/>
      <c r="D53" s="19">
        <v>1153000</v>
      </c>
      <c r="E53" s="19">
        <v>1153000</v>
      </c>
      <c r="F53" s="164">
        <f>SUM(F54:F58)</f>
        <v>1153000</v>
      </c>
      <c r="G53" s="95"/>
      <c r="H53" s="35"/>
      <c r="I53" s="104"/>
      <c r="J53" s="111"/>
      <c r="K53" s="35"/>
      <c r="L53" s="35"/>
    </row>
    <row r="54" spans="1:12" hidden="1" x14ac:dyDescent="0.2">
      <c r="A54" s="163"/>
      <c r="B54" s="1"/>
      <c r="C54" s="147" t="s">
        <v>121</v>
      </c>
      <c r="D54" s="19"/>
      <c r="E54" s="19"/>
      <c r="F54" s="164">
        <f>SUM(131050.02)</f>
        <v>131050.02</v>
      </c>
      <c r="G54" s="95"/>
      <c r="H54" s="35"/>
      <c r="I54" s="104"/>
      <c r="J54" s="111"/>
      <c r="K54" s="35"/>
      <c r="L54" s="35"/>
    </row>
    <row r="55" spans="1:12" hidden="1" x14ac:dyDescent="0.2">
      <c r="A55" s="163"/>
      <c r="B55" s="1"/>
      <c r="C55" s="147" t="s">
        <v>50</v>
      </c>
      <c r="D55" s="19"/>
      <c r="E55" s="19"/>
      <c r="F55" s="164">
        <f>173460+16402+27300</f>
        <v>217162</v>
      </c>
      <c r="G55" s="95"/>
      <c r="H55" s="35"/>
      <c r="I55" s="104"/>
      <c r="J55" s="111"/>
      <c r="K55" s="35"/>
      <c r="L55" s="35"/>
    </row>
    <row r="56" spans="1:12" hidden="1" x14ac:dyDescent="0.2">
      <c r="A56" s="163"/>
      <c r="B56" s="1"/>
      <c r="C56" s="147" t="s">
        <v>51</v>
      </c>
      <c r="D56" s="19"/>
      <c r="E56" s="19"/>
      <c r="F56" s="164">
        <v>473706.51</v>
      </c>
      <c r="G56" s="95"/>
      <c r="H56" s="35"/>
      <c r="I56" s="104"/>
      <c r="J56" s="111"/>
      <c r="K56" s="35"/>
      <c r="L56" s="35"/>
    </row>
    <row r="57" spans="1:12" hidden="1" x14ac:dyDescent="0.2">
      <c r="A57" s="163"/>
      <c r="B57" s="1"/>
      <c r="C57" s="147" t="s">
        <v>52</v>
      </c>
      <c r="D57" s="19"/>
      <c r="E57" s="19"/>
      <c r="F57" s="164">
        <v>291877.46999999997</v>
      </c>
      <c r="G57" s="95"/>
      <c r="H57" s="35"/>
      <c r="I57" s="104"/>
      <c r="J57" s="111"/>
      <c r="K57" s="35"/>
      <c r="L57" s="35"/>
    </row>
    <row r="58" spans="1:12" hidden="1" x14ac:dyDescent="0.2">
      <c r="A58" s="163"/>
      <c r="B58" s="1"/>
      <c r="C58" s="147" t="s">
        <v>53</v>
      </c>
      <c r="D58" s="19"/>
      <c r="E58" s="19"/>
      <c r="F58" s="164">
        <v>39204</v>
      </c>
      <c r="G58" s="95"/>
      <c r="H58" s="35"/>
      <c r="I58" s="104"/>
      <c r="J58" s="111"/>
      <c r="K58" s="35"/>
      <c r="L58" s="35"/>
    </row>
    <row r="59" spans="1:12" x14ac:dyDescent="0.2">
      <c r="A59" s="163" t="s">
        <v>8</v>
      </c>
      <c r="B59" s="1"/>
      <c r="C59" s="146"/>
      <c r="D59" s="19">
        <v>1000000</v>
      </c>
      <c r="E59" s="19">
        <v>1000000</v>
      </c>
      <c r="F59" s="164">
        <f>SUM(F60:F63)</f>
        <v>1000000</v>
      </c>
      <c r="G59" s="95"/>
      <c r="H59" s="35"/>
      <c r="I59" s="104"/>
      <c r="J59" s="111"/>
      <c r="K59" s="35"/>
      <c r="L59" s="35"/>
    </row>
    <row r="60" spans="1:12" hidden="1" x14ac:dyDescent="0.2">
      <c r="A60" s="165"/>
      <c r="B60" s="128"/>
      <c r="C60" s="147" t="s">
        <v>54</v>
      </c>
      <c r="D60" s="19"/>
      <c r="E60" s="19"/>
      <c r="F60" s="164">
        <v>56048.82</v>
      </c>
      <c r="G60" s="95"/>
      <c r="H60" s="35"/>
      <c r="I60" s="104"/>
      <c r="J60" s="111"/>
      <c r="K60" s="35"/>
      <c r="L60" s="35"/>
    </row>
    <row r="61" spans="1:12" hidden="1" x14ac:dyDescent="0.2">
      <c r="A61" s="165"/>
      <c r="B61" s="128"/>
      <c r="C61" s="147" t="s">
        <v>55</v>
      </c>
      <c r="D61" s="19"/>
      <c r="E61" s="19"/>
      <c r="F61" s="164">
        <v>279470</v>
      </c>
      <c r="G61" s="95"/>
      <c r="H61" s="35"/>
      <c r="I61" s="104"/>
      <c r="J61" s="111"/>
      <c r="K61" s="35"/>
      <c r="L61" s="35"/>
    </row>
    <row r="62" spans="1:12" hidden="1" x14ac:dyDescent="0.2">
      <c r="A62" s="165"/>
      <c r="B62" s="128"/>
      <c r="C62" s="147" t="s">
        <v>56</v>
      </c>
      <c r="D62" s="19"/>
      <c r="E62" s="19"/>
      <c r="F62" s="164">
        <v>41947.07</v>
      </c>
      <c r="G62" s="95"/>
      <c r="H62" s="35"/>
      <c r="I62" s="104"/>
      <c r="J62" s="111"/>
      <c r="K62" s="35"/>
      <c r="L62" s="35"/>
    </row>
    <row r="63" spans="1:12" hidden="1" x14ac:dyDescent="0.2">
      <c r="A63" s="165"/>
      <c r="B63" s="128"/>
      <c r="C63" s="147" t="s">
        <v>57</v>
      </c>
      <c r="D63" s="19"/>
      <c r="E63" s="19"/>
      <c r="F63" s="164">
        <v>622534.11</v>
      </c>
      <c r="G63" s="95"/>
      <c r="H63" s="35"/>
      <c r="I63" s="104"/>
      <c r="J63" s="111"/>
      <c r="K63" s="35"/>
      <c r="L63" s="35"/>
    </row>
    <row r="64" spans="1:12" x14ac:dyDescent="0.2">
      <c r="A64" s="163" t="s">
        <v>6</v>
      </c>
      <c r="B64" s="1"/>
      <c r="C64" s="146"/>
      <c r="D64" s="19">
        <v>1000000</v>
      </c>
      <c r="E64" s="19">
        <f>1000000-36000</f>
        <v>964000</v>
      </c>
      <c r="F64" s="164">
        <f>SUM(F65:F69)</f>
        <v>964000</v>
      </c>
      <c r="G64" s="95"/>
      <c r="H64" s="35"/>
      <c r="I64" s="104"/>
      <c r="J64" s="111"/>
      <c r="K64" s="35"/>
      <c r="L64" s="35"/>
    </row>
    <row r="65" spans="1:12" hidden="1" x14ac:dyDescent="0.2">
      <c r="A65" s="163"/>
      <c r="B65" s="1"/>
      <c r="C65" s="147" t="s">
        <v>124</v>
      </c>
      <c r="D65" s="19"/>
      <c r="E65" s="19"/>
      <c r="F65" s="164">
        <v>37000</v>
      </c>
      <c r="G65" s="95"/>
      <c r="H65" s="35"/>
      <c r="I65" s="104"/>
      <c r="J65" s="111"/>
      <c r="K65" s="35"/>
      <c r="L65" s="35"/>
    </row>
    <row r="66" spans="1:12" hidden="1" x14ac:dyDescent="0.2">
      <c r="A66" s="165"/>
      <c r="B66" s="128"/>
      <c r="C66" s="147" t="s">
        <v>58</v>
      </c>
      <c r="D66" s="19"/>
      <c r="E66" s="19"/>
      <c r="F66" s="164">
        <v>238416.32</v>
      </c>
      <c r="G66" s="95"/>
      <c r="H66" s="35"/>
      <c r="I66" s="104"/>
      <c r="J66" s="111"/>
      <c r="K66" s="35"/>
      <c r="L66" s="35"/>
    </row>
    <row r="67" spans="1:12" hidden="1" x14ac:dyDescent="0.2">
      <c r="A67" s="165"/>
      <c r="B67" s="128"/>
      <c r="C67" s="147" t="s">
        <v>153</v>
      </c>
      <c r="D67" s="19"/>
      <c r="E67" s="19"/>
      <c r="F67" s="164">
        <v>83490</v>
      </c>
      <c r="G67" s="95"/>
      <c r="H67" s="35"/>
      <c r="I67" s="104"/>
      <c r="J67" s="111"/>
      <c r="K67" s="35"/>
      <c r="L67" s="35"/>
    </row>
    <row r="68" spans="1:12" hidden="1" x14ac:dyDescent="0.2">
      <c r="A68" s="165"/>
      <c r="B68" s="128"/>
      <c r="C68" s="147" t="s">
        <v>153</v>
      </c>
      <c r="D68" s="19"/>
      <c r="E68" s="19"/>
      <c r="F68" s="164">
        <v>6143.68</v>
      </c>
      <c r="G68" s="95"/>
      <c r="H68" s="35"/>
      <c r="I68" s="104"/>
      <c r="J68" s="111"/>
      <c r="K68" s="35"/>
      <c r="L68" s="35"/>
    </row>
    <row r="69" spans="1:12" hidden="1" x14ac:dyDescent="0.2">
      <c r="A69" s="163"/>
      <c r="B69" s="1"/>
      <c r="C69" s="147" t="s">
        <v>54</v>
      </c>
      <c r="D69" s="19"/>
      <c r="E69" s="19"/>
      <c r="F69" s="164">
        <v>598950</v>
      </c>
      <c r="G69" s="95"/>
      <c r="H69" s="35"/>
      <c r="I69" s="104"/>
      <c r="J69" s="111"/>
      <c r="K69" s="35"/>
      <c r="L69" s="35"/>
    </row>
    <row r="70" spans="1:12" x14ac:dyDescent="0.2">
      <c r="A70" s="163" t="s">
        <v>9</v>
      </c>
      <c r="B70" s="1"/>
      <c r="C70" s="146"/>
      <c r="D70" s="19">
        <v>1000000</v>
      </c>
      <c r="E70" s="19">
        <v>1000000</v>
      </c>
      <c r="F70" s="164">
        <f>SUM(F71:F72)</f>
        <v>1000000</v>
      </c>
      <c r="G70" s="95"/>
      <c r="H70" s="35"/>
      <c r="I70" s="104"/>
      <c r="J70" s="111"/>
      <c r="K70" s="35"/>
      <c r="L70" s="35"/>
    </row>
    <row r="71" spans="1:12" hidden="1" x14ac:dyDescent="0.2">
      <c r="A71" s="163"/>
      <c r="B71" s="1"/>
      <c r="C71" s="147" t="s">
        <v>125</v>
      </c>
      <c r="D71" s="19"/>
      <c r="E71" s="19"/>
      <c r="F71" s="164">
        <v>915312</v>
      </c>
      <c r="G71" s="95"/>
      <c r="H71" s="35"/>
      <c r="I71" s="104"/>
      <c r="J71" s="111"/>
      <c r="K71" s="35"/>
      <c r="L71" s="35"/>
    </row>
    <row r="72" spans="1:12" hidden="1" x14ac:dyDescent="0.2">
      <c r="A72" s="163"/>
      <c r="B72" s="1"/>
      <c r="C72" s="147" t="s">
        <v>126</v>
      </c>
      <c r="D72" s="19"/>
      <c r="E72" s="19"/>
      <c r="F72" s="164">
        <v>84688</v>
      </c>
      <c r="G72" s="95"/>
      <c r="H72" s="35"/>
      <c r="I72" s="104"/>
      <c r="J72" s="111"/>
      <c r="K72" s="35"/>
      <c r="L72" s="35"/>
    </row>
    <row r="73" spans="1:12" x14ac:dyDescent="0.2">
      <c r="A73" s="163" t="s">
        <v>13</v>
      </c>
      <c r="B73" s="1"/>
      <c r="C73" s="146"/>
      <c r="D73" s="19">
        <v>1000000</v>
      </c>
      <c r="E73" s="19">
        <f>1000000-11000</f>
        <v>989000</v>
      </c>
      <c r="F73" s="164">
        <f>SUM(F74:F81)</f>
        <v>987542.44</v>
      </c>
      <c r="G73" s="95"/>
      <c r="H73" s="35"/>
      <c r="I73" s="104"/>
      <c r="J73" s="111"/>
      <c r="K73" s="35"/>
      <c r="L73" s="35"/>
    </row>
    <row r="74" spans="1:12" hidden="1" x14ac:dyDescent="0.2">
      <c r="A74" s="165"/>
      <c r="B74" s="128"/>
      <c r="C74" s="147" t="s">
        <v>59</v>
      </c>
      <c r="D74" s="19"/>
      <c r="E74" s="19"/>
      <c r="F74" s="164">
        <v>228491.06</v>
      </c>
      <c r="G74" s="96"/>
      <c r="H74" s="34"/>
      <c r="I74" s="104"/>
      <c r="J74" s="113"/>
      <c r="K74" s="34"/>
      <c r="L74" s="34"/>
    </row>
    <row r="75" spans="1:12" hidden="1" x14ac:dyDescent="0.2">
      <c r="A75" s="165"/>
      <c r="B75" s="128"/>
      <c r="C75" s="147" t="s">
        <v>130</v>
      </c>
      <c r="D75" s="19"/>
      <c r="E75" s="19"/>
      <c r="F75" s="164">
        <v>85910</v>
      </c>
      <c r="G75" s="96"/>
      <c r="H75" s="34"/>
      <c r="I75" s="104"/>
      <c r="J75" s="113"/>
      <c r="K75" s="34"/>
      <c r="L75" s="34"/>
    </row>
    <row r="76" spans="1:12" hidden="1" x14ac:dyDescent="0.2">
      <c r="A76" s="165"/>
      <c r="B76" s="128"/>
      <c r="C76" s="147" t="s">
        <v>129</v>
      </c>
      <c r="D76" s="19"/>
      <c r="E76" s="19"/>
      <c r="F76" s="164">
        <v>53240</v>
      </c>
      <c r="G76" s="96"/>
      <c r="H76" s="34"/>
      <c r="I76" s="104"/>
      <c r="J76" s="113"/>
      <c r="K76" s="34"/>
      <c r="L76" s="34"/>
    </row>
    <row r="77" spans="1:12" hidden="1" x14ac:dyDescent="0.2">
      <c r="A77" s="165"/>
      <c r="B77" s="128"/>
      <c r="C77" s="147" t="s">
        <v>127</v>
      </c>
      <c r="D77" s="19"/>
      <c r="E77" s="19"/>
      <c r="F77" s="164">
        <v>135657.04</v>
      </c>
      <c r="G77" s="96"/>
      <c r="H77" s="34"/>
      <c r="I77" s="104"/>
      <c r="J77" s="113"/>
      <c r="K77" s="34"/>
      <c r="L77" s="34"/>
    </row>
    <row r="78" spans="1:12" hidden="1" x14ac:dyDescent="0.2">
      <c r="A78" s="165"/>
      <c r="B78" s="128"/>
      <c r="C78" s="147" t="s">
        <v>128</v>
      </c>
      <c r="D78" s="19"/>
      <c r="E78" s="19"/>
      <c r="F78" s="164">
        <v>33000</v>
      </c>
      <c r="G78" s="96"/>
      <c r="H78" s="34"/>
      <c r="I78" s="104"/>
      <c r="J78" s="113"/>
      <c r="K78" s="34"/>
      <c r="L78" s="34"/>
    </row>
    <row r="79" spans="1:12" hidden="1" x14ac:dyDescent="0.2">
      <c r="A79" s="163"/>
      <c r="B79" s="1"/>
      <c r="C79" s="147" t="s">
        <v>60</v>
      </c>
      <c r="D79" s="19"/>
      <c r="E79" s="19"/>
      <c r="F79" s="164">
        <v>165094.34</v>
      </c>
      <c r="G79" s="95"/>
      <c r="H79" s="35"/>
      <c r="I79" s="104"/>
      <c r="J79" s="111"/>
      <c r="K79" s="35"/>
      <c r="L79" s="35"/>
    </row>
    <row r="80" spans="1:12" hidden="1" x14ac:dyDescent="0.2">
      <c r="A80" s="163"/>
      <c r="B80" s="1"/>
      <c r="C80" s="147" t="s">
        <v>61</v>
      </c>
      <c r="D80" s="19"/>
      <c r="E80" s="19"/>
      <c r="F80" s="164">
        <f>15000+40000+92000</f>
        <v>147000</v>
      </c>
      <c r="G80" s="95"/>
      <c r="H80" s="35"/>
      <c r="I80" s="104"/>
      <c r="J80" s="111"/>
      <c r="K80" s="35"/>
      <c r="L80" s="35"/>
    </row>
    <row r="81" spans="1:27" hidden="1" x14ac:dyDescent="0.2">
      <c r="A81" s="163"/>
      <c r="B81" s="1"/>
      <c r="C81" s="147" t="s">
        <v>62</v>
      </c>
      <c r="D81" s="19"/>
      <c r="E81" s="19"/>
      <c r="F81" s="164">
        <v>139150</v>
      </c>
      <c r="G81" s="95"/>
      <c r="H81" s="35"/>
      <c r="I81" s="104"/>
      <c r="J81" s="111"/>
      <c r="K81" s="35"/>
      <c r="L81" s="35"/>
    </row>
    <row r="82" spans="1:27" x14ac:dyDescent="0.2">
      <c r="A82" s="163" t="s">
        <v>22</v>
      </c>
      <c r="B82" s="1"/>
      <c r="C82" s="146"/>
      <c r="D82" s="19">
        <v>1301000</v>
      </c>
      <c r="E82" s="19">
        <v>1301000</v>
      </c>
      <c r="F82" s="164">
        <f>SUM(F83:F85)</f>
        <v>1301000</v>
      </c>
      <c r="G82" s="95"/>
      <c r="H82" s="35"/>
      <c r="I82" s="104"/>
      <c r="J82" s="111"/>
      <c r="K82" s="35"/>
      <c r="L82" s="35"/>
    </row>
    <row r="83" spans="1:27" hidden="1" x14ac:dyDescent="0.2">
      <c r="A83" s="165"/>
      <c r="B83" s="128"/>
      <c r="C83" s="147" t="s">
        <v>135</v>
      </c>
      <c r="D83" s="19"/>
      <c r="E83" s="19"/>
      <c r="F83" s="164">
        <v>306816.44</v>
      </c>
      <c r="G83" s="96"/>
      <c r="H83" s="34"/>
      <c r="I83" s="104"/>
      <c r="J83" s="113"/>
      <c r="K83" s="34"/>
      <c r="L83" s="34"/>
    </row>
    <row r="84" spans="1:27" hidden="1" x14ac:dyDescent="0.2">
      <c r="A84" s="165"/>
      <c r="B84" s="128"/>
      <c r="C84" s="147" t="s">
        <v>147</v>
      </c>
      <c r="D84" s="19"/>
      <c r="E84" s="19"/>
      <c r="F84" s="164">
        <v>646822.61</v>
      </c>
      <c r="G84" s="96"/>
      <c r="H84" s="34"/>
      <c r="I84" s="104"/>
      <c r="J84" s="113"/>
      <c r="K84" s="34"/>
      <c r="L84" s="34"/>
    </row>
    <row r="85" spans="1:27" hidden="1" x14ac:dyDescent="0.2">
      <c r="A85" s="163"/>
      <c r="B85" s="1"/>
      <c r="C85" s="147" t="s">
        <v>63</v>
      </c>
      <c r="D85" s="19"/>
      <c r="E85" s="19"/>
      <c r="F85" s="164">
        <v>347360.95</v>
      </c>
      <c r="G85" s="95"/>
      <c r="H85" s="35"/>
      <c r="I85" s="104"/>
      <c r="J85" s="111"/>
      <c r="K85" s="35"/>
      <c r="L85" s="35"/>
    </row>
    <row r="86" spans="1:27" x14ac:dyDescent="0.2">
      <c r="A86" s="163" t="s">
        <v>3</v>
      </c>
      <c r="B86" s="1"/>
      <c r="C86" s="146"/>
      <c r="D86" s="19">
        <v>3361000</v>
      </c>
      <c r="E86" s="19">
        <v>3361000</v>
      </c>
      <c r="F86" s="164">
        <f>SUM(F87)</f>
        <v>3360999.9999999995</v>
      </c>
      <c r="G86" s="95"/>
      <c r="H86" s="35"/>
      <c r="I86" s="104"/>
      <c r="J86" s="111"/>
      <c r="K86" s="35"/>
      <c r="L86" s="35"/>
    </row>
    <row r="87" spans="1:27" hidden="1" x14ac:dyDescent="0.2">
      <c r="A87" s="163"/>
      <c r="B87" s="1"/>
      <c r="C87" s="147" t="s">
        <v>64</v>
      </c>
      <c r="D87" s="19"/>
      <c r="E87" s="19"/>
      <c r="F87" s="164">
        <f>1080965.91+1521162.73+697724.33+61147.03</f>
        <v>3360999.9999999995</v>
      </c>
      <c r="G87" s="95"/>
      <c r="H87" s="35"/>
      <c r="I87" s="104"/>
      <c r="J87" s="111"/>
      <c r="K87" s="35"/>
      <c r="L87" s="35"/>
    </row>
    <row r="88" spans="1:27" x14ac:dyDescent="0.2">
      <c r="A88" s="163" t="s">
        <v>10</v>
      </c>
      <c r="B88" s="1"/>
      <c r="C88" s="146"/>
      <c r="D88" s="19">
        <v>1096000</v>
      </c>
      <c r="E88" s="19">
        <f>1096000-431000</f>
        <v>665000</v>
      </c>
      <c r="F88" s="164">
        <f>SUM(F89:F94)</f>
        <v>664042.88</v>
      </c>
      <c r="G88" s="95"/>
      <c r="H88" s="35"/>
      <c r="I88" s="104"/>
      <c r="J88" s="111"/>
      <c r="K88" s="35"/>
      <c r="L88" s="35"/>
    </row>
    <row r="89" spans="1:27" hidden="1" x14ac:dyDescent="0.2">
      <c r="A89" s="165"/>
      <c r="B89" s="128"/>
      <c r="C89" s="147" t="s">
        <v>65</v>
      </c>
      <c r="D89" s="19"/>
      <c r="E89" s="19"/>
      <c r="F89" s="164">
        <f>28621.34+15947.95+20000+27992.14+924.45</f>
        <v>93485.87999999999</v>
      </c>
      <c r="G89" s="96"/>
      <c r="H89" s="34"/>
      <c r="I89" s="104"/>
      <c r="J89" s="113"/>
      <c r="K89" s="34"/>
      <c r="L89" s="34"/>
    </row>
    <row r="90" spans="1:27" hidden="1" x14ac:dyDescent="0.2">
      <c r="A90" s="165"/>
      <c r="B90" s="128"/>
      <c r="C90" s="147" t="s">
        <v>131</v>
      </c>
      <c r="D90" s="19"/>
      <c r="E90" s="19"/>
      <c r="F90" s="164">
        <f>73810+139616</f>
        <v>213426</v>
      </c>
      <c r="G90" s="96"/>
      <c r="H90" s="34"/>
      <c r="I90" s="104"/>
      <c r="J90" s="113"/>
      <c r="K90" s="34"/>
      <c r="L90" s="34"/>
    </row>
    <row r="91" spans="1:27" hidden="1" x14ac:dyDescent="0.2">
      <c r="A91" s="165"/>
      <c r="B91" s="128"/>
      <c r="C91" s="147" t="s">
        <v>151</v>
      </c>
      <c r="D91" s="19"/>
      <c r="E91" s="19"/>
      <c r="F91" s="164">
        <v>205700</v>
      </c>
      <c r="G91" s="96"/>
      <c r="H91" s="34"/>
      <c r="I91" s="104"/>
      <c r="J91" s="113"/>
      <c r="K91" s="34"/>
      <c r="L91" s="34"/>
    </row>
    <row r="92" spans="1:27" hidden="1" x14ac:dyDescent="0.2">
      <c r="A92" s="165"/>
      <c r="B92" s="128"/>
      <c r="C92" s="147" t="s">
        <v>152</v>
      </c>
      <c r="D92" s="19"/>
      <c r="E92" s="19"/>
      <c r="F92" s="164">
        <v>46585</v>
      </c>
      <c r="G92" s="96"/>
      <c r="H92" s="34"/>
      <c r="I92" s="104"/>
      <c r="J92" s="113"/>
      <c r="K92" s="34"/>
      <c r="L92" s="34"/>
    </row>
    <row r="93" spans="1:27" hidden="1" x14ac:dyDescent="0.2">
      <c r="A93" s="165"/>
      <c r="B93" s="128"/>
      <c r="C93" s="147" t="s">
        <v>165</v>
      </c>
      <c r="D93" s="19"/>
      <c r="E93" s="19"/>
      <c r="F93" s="164">
        <v>54165</v>
      </c>
      <c r="G93" s="96"/>
      <c r="H93" s="34"/>
      <c r="I93" s="104"/>
      <c r="J93" s="113"/>
      <c r="K93" s="34"/>
      <c r="L93" s="34"/>
    </row>
    <row r="94" spans="1:27" hidden="1" x14ac:dyDescent="0.2">
      <c r="A94" s="165"/>
      <c r="B94" s="128"/>
      <c r="C94" s="147" t="s">
        <v>66</v>
      </c>
      <c r="D94" s="19"/>
      <c r="E94" s="19"/>
      <c r="F94" s="164">
        <f>SUM(16000+14520+20161)</f>
        <v>50681</v>
      </c>
      <c r="G94" s="96"/>
      <c r="H94" s="34"/>
      <c r="I94" s="104"/>
      <c r="J94" s="113"/>
      <c r="K94" s="34"/>
      <c r="L94" s="34"/>
    </row>
    <row r="95" spans="1:27" x14ac:dyDescent="0.2">
      <c r="A95" s="163" t="s">
        <v>19</v>
      </c>
      <c r="B95" s="1"/>
      <c r="C95" s="146"/>
      <c r="D95" s="19">
        <v>1000000</v>
      </c>
      <c r="E95" s="19">
        <v>1000000</v>
      </c>
      <c r="F95" s="164">
        <f>SUM(F96:F97)</f>
        <v>1000000</v>
      </c>
      <c r="G95" s="95"/>
      <c r="H95" s="35"/>
      <c r="I95" s="104"/>
      <c r="J95" s="111"/>
      <c r="K95" s="35"/>
      <c r="L95" s="35"/>
    </row>
    <row r="96" spans="1:27" s="124" customFormat="1" hidden="1" x14ac:dyDescent="0.2">
      <c r="A96" s="165"/>
      <c r="B96" s="128"/>
      <c r="C96" s="147" t="s">
        <v>149</v>
      </c>
      <c r="D96" s="19"/>
      <c r="E96" s="19"/>
      <c r="F96" s="164">
        <f>60500+439500</f>
        <v>500000</v>
      </c>
      <c r="G96" s="96"/>
      <c r="H96" s="34"/>
      <c r="I96" s="88"/>
      <c r="J96" s="113"/>
      <c r="K96" s="34"/>
      <c r="L96" s="34"/>
      <c r="M96" s="37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</row>
    <row r="97" spans="1:27" s="124" customFormat="1" hidden="1" x14ac:dyDescent="0.2">
      <c r="A97" s="165"/>
      <c r="B97" s="128"/>
      <c r="C97" s="147" t="s">
        <v>150</v>
      </c>
      <c r="D97" s="19"/>
      <c r="E97" s="19"/>
      <c r="F97" s="164">
        <v>500000</v>
      </c>
      <c r="G97" s="96"/>
      <c r="H97" s="34"/>
      <c r="I97" s="88"/>
      <c r="J97" s="113"/>
      <c r="K97" s="34"/>
      <c r="L97" s="34"/>
      <c r="M97" s="37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</row>
    <row r="98" spans="1:27" x14ac:dyDescent="0.2">
      <c r="A98" s="163" t="s">
        <v>20</v>
      </c>
      <c r="B98" s="1"/>
      <c r="C98" s="146"/>
      <c r="D98" s="19">
        <v>2441000</v>
      </c>
      <c r="E98" s="19">
        <f>2441000-658000</f>
        <v>1783000</v>
      </c>
      <c r="F98" s="164">
        <f>SUM(F99:F102)</f>
        <v>1782751.94</v>
      </c>
      <c r="G98" s="95"/>
      <c r="H98" s="35"/>
      <c r="I98" s="104"/>
      <c r="J98" s="111"/>
      <c r="K98" s="35"/>
      <c r="L98" s="35"/>
    </row>
    <row r="99" spans="1:27" hidden="1" x14ac:dyDescent="0.2">
      <c r="A99" s="165"/>
      <c r="B99" s="128"/>
      <c r="C99" s="147" t="s">
        <v>67</v>
      </c>
      <c r="D99" s="19"/>
      <c r="E99" s="19"/>
      <c r="F99" s="164">
        <f>120516+98494</f>
        <v>219010</v>
      </c>
      <c r="G99" s="95"/>
      <c r="H99" s="35"/>
      <c r="I99" s="104"/>
      <c r="J99" s="111"/>
      <c r="K99" s="35"/>
      <c r="L99" s="35"/>
    </row>
    <row r="100" spans="1:27" hidden="1" x14ac:dyDescent="0.2">
      <c r="A100" s="165"/>
      <c r="B100" s="128"/>
      <c r="C100" s="147" t="s">
        <v>132</v>
      </c>
      <c r="D100" s="19"/>
      <c r="E100" s="19"/>
      <c r="F100" s="164">
        <f>65340+85910+421080</f>
        <v>572330</v>
      </c>
      <c r="G100" s="95"/>
      <c r="H100" s="35"/>
      <c r="I100" s="104"/>
      <c r="J100" s="111"/>
      <c r="K100" s="35"/>
      <c r="L100" s="35"/>
    </row>
    <row r="101" spans="1:27" hidden="1" x14ac:dyDescent="0.2">
      <c r="A101" s="165"/>
      <c r="B101" s="128"/>
      <c r="C101" s="147" t="s">
        <v>136</v>
      </c>
      <c r="D101" s="19"/>
      <c r="E101" s="19"/>
      <c r="F101" s="164">
        <v>190212</v>
      </c>
      <c r="G101" s="95"/>
      <c r="H101" s="35"/>
      <c r="I101" s="104"/>
      <c r="J101" s="111"/>
      <c r="K101" s="35"/>
      <c r="L101" s="35"/>
    </row>
    <row r="102" spans="1:27" hidden="1" x14ac:dyDescent="0.2">
      <c r="A102" s="165"/>
      <c r="B102" s="128"/>
      <c r="C102" s="147" t="s">
        <v>68</v>
      </c>
      <c r="D102" s="19"/>
      <c r="E102" s="19"/>
      <c r="F102" s="164">
        <v>801199.94</v>
      </c>
      <c r="G102" s="96"/>
      <c r="H102" s="34"/>
      <c r="I102" s="104"/>
      <c r="J102" s="113"/>
      <c r="K102" s="34"/>
      <c r="L102" s="34"/>
    </row>
    <row r="103" spans="1:27" x14ac:dyDescent="0.2">
      <c r="A103" s="163" t="s">
        <v>21</v>
      </c>
      <c r="B103" s="1"/>
      <c r="C103" s="146"/>
      <c r="D103" s="19">
        <v>1811000</v>
      </c>
      <c r="E103" s="19">
        <f>1811000-1811000</f>
        <v>0</v>
      </c>
      <c r="F103" s="164">
        <v>0</v>
      </c>
      <c r="G103" s="95"/>
      <c r="H103" s="35"/>
      <c r="I103" s="104"/>
      <c r="J103" s="111"/>
      <c r="K103" s="35"/>
      <c r="L103" s="35"/>
    </row>
    <row r="104" spans="1:27" x14ac:dyDescent="0.2">
      <c r="A104" s="163" t="s">
        <v>12</v>
      </c>
      <c r="B104" s="1"/>
      <c r="C104" s="146"/>
      <c r="D104" s="19">
        <v>2391000</v>
      </c>
      <c r="E104" s="19">
        <f>2391000-824000</f>
        <v>1567000</v>
      </c>
      <c r="F104" s="164">
        <f>SUM(F105)</f>
        <v>1371844</v>
      </c>
      <c r="G104" s="95"/>
      <c r="H104" s="35"/>
      <c r="I104" s="104"/>
      <c r="J104" s="111"/>
      <c r="K104" s="35"/>
      <c r="L104" s="35"/>
    </row>
    <row r="105" spans="1:27" hidden="1" x14ac:dyDescent="0.2">
      <c r="A105" s="165"/>
      <c r="B105" s="128"/>
      <c r="C105" s="147" t="s">
        <v>69</v>
      </c>
      <c r="D105" s="19"/>
      <c r="E105" s="19"/>
      <c r="F105" s="164">
        <v>1371844</v>
      </c>
      <c r="G105" s="96"/>
      <c r="H105" s="34"/>
      <c r="I105" s="104"/>
      <c r="J105" s="113"/>
      <c r="K105" s="34"/>
      <c r="L105" s="34"/>
    </row>
    <row r="106" spans="1:27" x14ac:dyDescent="0.2">
      <c r="A106" s="163" t="s">
        <v>23</v>
      </c>
      <c r="B106" s="1"/>
      <c r="C106" s="146"/>
      <c r="D106" s="19">
        <v>1000000</v>
      </c>
      <c r="E106" s="19">
        <f>1000000-580000</f>
        <v>420000</v>
      </c>
      <c r="F106" s="164">
        <f>SUM(F107:F108)</f>
        <v>419363.24</v>
      </c>
      <c r="G106" s="95"/>
      <c r="H106" s="35"/>
      <c r="I106" s="104"/>
      <c r="J106" s="111"/>
      <c r="K106" s="35"/>
      <c r="L106" s="35"/>
    </row>
    <row r="107" spans="1:27" hidden="1" x14ac:dyDescent="0.2">
      <c r="A107" s="165"/>
      <c r="B107" s="128"/>
      <c r="C107" s="147" t="s">
        <v>70</v>
      </c>
      <c r="D107" s="19"/>
      <c r="E107" s="19"/>
      <c r="F107" s="164">
        <v>298844.82</v>
      </c>
      <c r="G107" s="96"/>
      <c r="H107" s="34"/>
      <c r="I107" s="104"/>
      <c r="J107" s="113"/>
      <c r="K107" s="34"/>
      <c r="L107" s="34"/>
    </row>
    <row r="108" spans="1:27" hidden="1" x14ac:dyDescent="0.2">
      <c r="A108" s="165"/>
      <c r="B108" s="128"/>
      <c r="C108" s="147" t="s">
        <v>71</v>
      </c>
      <c r="D108" s="19"/>
      <c r="E108" s="19"/>
      <c r="F108" s="164">
        <v>120518.42</v>
      </c>
      <c r="G108" s="96"/>
      <c r="H108" s="34"/>
      <c r="I108" s="104"/>
      <c r="J108" s="113"/>
      <c r="K108" s="34"/>
      <c r="L108" s="34"/>
    </row>
    <row r="109" spans="1:27" ht="13.5" thickBot="1" x14ac:dyDescent="0.25">
      <c r="A109" s="167" t="s">
        <v>16</v>
      </c>
      <c r="B109" s="151"/>
      <c r="C109" s="152"/>
      <c r="D109" s="153">
        <v>1000000</v>
      </c>
      <c r="E109" s="153">
        <f>1000000-700000</f>
        <v>300000</v>
      </c>
      <c r="F109" s="168">
        <f>SUM(F110:F111)</f>
        <v>300000</v>
      </c>
      <c r="G109" s="95"/>
      <c r="H109" s="35"/>
      <c r="I109" s="104"/>
      <c r="J109" s="111"/>
      <c r="K109" s="35"/>
      <c r="L109" s="35"/>
    </row>
    <row r="110" spans="1:27" s="124" customFormat="1" hidden="1" x14ac:dyDescent="0.2">
      <c r="A110" s="20"/>
      <c r="B110" s="150"/>
      <c r="C110" s="29" t="s">
        <v>164</v>
      </c>
      <c r="D110" s="30"/>
      <c r="E110" s="30"/>
      <c r="F110" s="31">
        <v>300000</v>
      </c>
      <c r="G110" s="96"/>
      <c r="H110" s="34"/>
      <c r="I110" s="88"/>
      <c r="J110" s="113"/>
      <c r="K110" s="34"/>
      <c r="L110" s="34"/>
      <c r="M110" s="37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</row>
    <row r="111" spans="1:27" ht="13.5" hidden="1" thickBot="1" x14ac:dyDescent="0.25">
      <c r="A111" s="24"/>
      <c r="B111" s="25"/>
      <c r="C111" s="26" t="s">
        <v>72</v>
      </c>
      <c r="D111" s="27"/>
      <c r="E111" s="27"/>
      <c r="F111" s="28">
        <v>0</v>
      </c>
      <c r="G111" s="96"/>
      <c r="H111" s="34"/>
      <c r="I111" s="104"/>
      <c r="J111" s="113"/>
      <c r="K111" s="34"/>
      <c r="L111" s="34"/>
    </row>
    <row r="112" spans="1:27" ht="14.25" thickTop="1" thickBot="1" x14ac:dyDescent="0.25">
      <c r="A112" s="178" t="s">
        <v>73</v>
      </c>
      <c r="B112" s="179"/>
      <c r="C112" s="180"/>
      <c r="D112" s="154">
        <f>SUM(D5:D109)</f>
        <v>100000000</v>
      </c>
      <c r="E112" s="154">
        <f>SUM(E5:E109)</f>
        <v>66205000</v>
      </c>
      <c r="F112" s="155">
        <f>SUM(F5+F10+F14+F20+F26+F29+F35+F37+F45+F53+F59+F64+F70+F73+F82+F86+F88+F95+F98+F103+F104+F106+F109)</f>
        <v>65998645.479999997</v>
      </c>
      <c r="G112" s="95"/>
      <c r="H112" s="95"/>
      <c r="I112" s="95"/>
      <c r="J112" s="111"/>
      <c r="K112" s="35"/>
      <c r="L112" s="35"/>
    </row>
    <row r="113" spans="1:12" x14ac:dyDescent="0.2">
      <c r="A113" s="32"/>
      <c r="B113" s="32"/>
      <c r="C113" s="33"/>
      <c r="D113" s="34"/>
      <c r="E113" s="35"/>
      <c r="F113" s="36"/>
      <c r="G113" s="95"/>
      <c r="H113" s="35"/>
      <c r="I113" s="35"/>
      <c r="J113" s="35"/>
      <c r="K113" s="35"/>
      <c r="L113" s="35"/>
    </row>
    <row r="114" spans="1:12" x14ac:dyDescent="0.2">
      <c r="A114" s="32"/>
      <c r="B114" s="32"/>
      <c r="C114" s="37"/>
      <c r="D114" s="34"/>
      <c r="E114" s="34"/>
      <c r="F114" s="34"/>
      <c r="G114" s="34"/>
      <c r="H114" s="35"/>
      <c r="I114" s="35"/>
      <c r="J114" s="35"/>
      <c r="K114" s="35"/>
      <c r="L114" s="35"/>
    </row>
    <row r="115" spans="1:12" ht="15" x14ac:dyDescent="0.2">
      <c r="A115" s="181" t="s">
        <v>170</v>
      </c>
      <c r="B115" s="181"/>
      <c r="C115" s="181"/>
      <c r="D115" s="181"/>
      <c r="E115" s="3"/>
      <c r="F115" s="4"/>
      <c r="G115" s="85"/>
    </row>
    <row r="116" spans="1:12" ht="13.5" thickBot="1" x14ac:dyDescent="0.25">
      <c r="A116" s="32"/>
      <c r="B116" s="32"/>
      <c r="C116" s="37"/>
      <c r="D116" s="34"/>
      <c r="E116" s="34"/>
      <c r="F116" s="34"/>
      <c r="G116" s="35"/>
      <c r="H116" s="111"/>
      <c r="I116" s="111"/>
      <c r="J116" s="35"/>
      <c r="K116" s="35"/>
      <c r="L116" s="35"/>
    </row>
    <row r="117" spans="1:12" x14ac:dyDescent="0.2">
      <c r="A117" s="182" t="s">
        <v>0</v>
      </c>
      <c r="B117" s="173" t="s">
        <v>74</v>
      </c>
      <c r="C117" s="175" t="s">
        <v>24</v>
      </c>
      <c r="D117" s="184" t="s">
        <v>166</v>
      </c>
      <c r="E117" s="184" t="s">
        <v>167</v>
      </c>
      <c r="F117" s="186" t="s">
        <v>25</v>
      </c>
      <c r="G117" s="35"/>
      <c r="H117" s="111"/>
      <c r="I117" s="111"/>
      <c r="J117" s="35"/>
      <c r="K117" s="35"/>
      <c r="L117" s="35"/>
    </row>
    <row r="118" spans="1:12" ht="13.5" thickBot="1" x14ac:dyDescent="0.25">
      <c r="A118" s="183"/>
      <c r="B118" s="174"/>
      <c r="C118" s="176"/>
      <c r="D118" s="185"/>
      <c r="E118" s="185"/>
      <c r="F118" s="187"/>
      <c r="G118" s="95"/>
      <c r="H118" s="111"/>
      <c r="I118" s="111"/>
      <c r="J118" s="35"/>
      <c r="K118" s="35"/>
      <c r="L118" s="35"/>
    </row>
    <row r="119" spans="1:12" x14ac:dyDescent="0.2">
      <c r="A119" s="129" t="s">
        <v>1</v>
      </c>
      <c r="B119" s="38">
        <v>6905</v>
      </c>
      <c r="C119" s="39" t="s">
        <v>75</v>
      </c>
      <c r="D119" s="40">
        <v>0</v>
      </c>
      <c r="E119" s="40">
        <f>15000000-3450000</f>
        <v>11550000</v>
      </c>
      <c r="F119" s="41">
        <f>SUM(1475671.99+5197627.21+4817888.36+32670)</f>
        <v>11523857.560000001</v>
      </c>
      <c r="G119" s="95"/>
      <c r="H119" s="111"/>
      <c r="I119" s="111"/>
      <c r="J119" s="35"/>
      <c r="K119" s="35"/>
      <c r="L119" s="35"/>
    </row>
    <row r="120" spans="1:12" x14ac:dyDescent="0.2">
      <c r="A120" s="42"/>
      <c r="B120" s="43">
        <v>3944</v>
      </c>
      <c r="C120" s="44" t="s">
        <v>76</v>
      </c>
      <c r="D120" s="45">
        <v>0</v>
      </c>
      <c r="E120" s="45">
        <v>850000</v>
      </c>
      <c r="F120" s="23">
        <f>SUM(588510.67+261489.33)</f>
        <v>850000</v>
      </c>
      <c r="G120" s="95"/>
      <c r="H120" s="111"/>
      <c r="I120" s="111"/>
      <c r="J120" s="35"/>
      <c r="K120" s="35"/>
      <c r="L120" s="35"/>
    </row>
    <row r="121" spans="1:12" x14ac:dyDescent="0.2">
      <c r="A121" s="42"/>
      <c r="B121" s="46">
        <v>3945</v>
      </c>
      <c r="C121" s="47" t="s">
        <v>77</v>
      </c>
      <c r="D121" s="48">
        <v>0</v>
      </c>
      <c r="E121" s="48">
        <v>8000000</v>
      </c>
      <c r="F121" s="18">
        <v>4064362.32</v>
      </c>
      <c r="G121" s="95"/>
      <c r="H121" s="111"/>
      <c r="I121" s="111"/>
      <c r="J121" s="35"/>
      <c r="K121" s="35"/>
      <c r="L121" s="35"/>
    </row>
    <row r="122" spans="1:12" ht="13.5" thickBot="1" x14ac:dyDescent="0.25">
      <c r="A122" s="156"/>
      <c r="B122" s="158">
        <v>3947</v>
      </c>
      <c r="C122" s="159" t="s">
        <v>78</v>
      </c>
      <c r="D122" s="160">
        <v>0</v>
      </c>
      <c r="E122" s="160">
        <v>5500000</v>
      </c>
      <c r="F122" s="161">
        <f>SUM(1150928.83+4169832.05)</f>
        <v>5320760.88</v>
      </c>
      <c r="G122" s="95"/>
      <c r="H122" s="111"/>
      <c r="I122" s="111"/>
      <c r="J122" s="35"/>
      <c r="K122" s="35"/>
      <c r="L122" s="35"/>
    </row>
    <row r="123" spans="1:12" x14ac:dyDescent="0.2">
      <c r="A123" s="6"/>
      <c r="B123" s="157"/>
      <c r="C123" s="47"/>
      <c r="D123" s="88"/>
      <c r="E123" s="88"/>
      <c r="F123" s="88"/>
      <c r="G123" s="95"/>
      <c r="H123" s="111"/>
      <c r="I123" s="111"/>
      <c r="J123" s="35"/>
      <c r="K123" s="35"/>
      <c r="L123" s="35"/>
    </row>
    <row r="124" spans="1:12" ht="13.5" thickBot="1" x14ac:dyDescent="0.25">
      <c r="A124" s="6"/>
      <c r="B124" s="157"/>
      <c r="C124" s="47"/>
      <c r="D124" s="88"/>
      <c r="E124" s="88"/>
      <c r="F124" s="88"/>
      <c r="G124" s="95"/>
      <c r="H124" s="111"/>
      <c r="I124" s="111"/>
      <c r="J124" s="35"/>
      <c r="K124" s="35"/>
      <c r="L124" s="35"/>
    </row>
    <row r="125" spans="1:12" x14ac:dyDescent="0.2">
      <c r="A125" s="182" t="s">
        <v>0</v>
      </c>
      <c r="B125" s="173" t="s">
        <v>74</v>
      </c>
      <c r="C125" s="175" t="s">
        <v>24</v>
      </c>
      <c r="D125" s="184" t="s">
        <v>166</v>
      </c>
      <c r="E125" s="184" t="s">
        <v>167</v>
      </c>
      <c r="F125" s="186" t="s">
        <v>25</v>
      </c>
      <c r="G125" s="35"/>
      <c r="H125" s="111"/>
      <c r="I125" s="111"/>
      <c r="J125" s="35"/>
      <c r="K125" s="35"/>
      <c r="L125" s="35"/>
    </row>
    <row r="126" spans="1:12" ht="13.5" thickBot="1" x14ac:dyDescent="0.25">
      <c r="A126" s="183"/>
      <c r="B126" s="174"/>
      <c r="C126" s="176"/>
      <c r="D126" s="185"/>
      <c r="E126" s="185"/>
      <c r="F126" s="187"/>
      <c r="G126" s="95"/>
      <c r="H126" s="111"/>
      <c r="I126" s="111"/>
      <c r="J126" s="35"/>
      <c r="K126" s="35"/>
      <c r="L126" s="35"/>
    </row>
    <row r="127" spans="1:12" x14ac:dyDescent="0.2">
      <c r="A127" s="42" t="s">
        <v>1</v>
      </c>
      <c r="B127" s="46">
        <v>3948</v>
      </c>
      <c r="C127" s="47" t="s">
        <v>79</v>
      </c>
      <c r="D127" s="48">
        <v>0</v>
      </c>
      <c r="E127" s="48">
        <v>3500000</v>
      </c>
      <c r="F127" s="18">
        <v>0</v>
      </c>
      <c r="G127" s="95"/>
      <c r="H127" s="111"/>
      <c r="I127" s="111"/>
      <c r="J127" s="35"/>
      <c r="K127" s="35"/>
      <c r="L127" s="35"/>
    </row>
    <row r="128" spans="1:12" x14ac:dyDescent="0.2">
      <c r="A128" s="42"/>
      <c r="B128" s="43">
        <v>6911</v>
      </c>
      <c r="C128" s="44" t="s">
        <v>80</v>
      </c>
      <c r="D128" s="45">
        <v>0</v>
      </c>
      <c r="E128" s="45">
        <v>1500000</v>
      </c>
      <c r="F128" s="23">
        <v>0</v>
      </c>
      <c r="G128" s="95"/>
      <c r="H128" s="111"/>
      <c r="I128" s="111"/>
      <c r="J128" s="35"/>
      <c r="K128" s="35"/>
      <c r="L128" s="35"/>
    </row>
    <row r="129" spans="1:12" x14ac:dyDescent="0.2">
      <c r="A129" s="42"/>
      <c r="B129" s="43">
        <v>8762</v>
      </c>
      <c r="C129" s="44" t="s">
        <v>81</v>
      </c>
      <c r="D129" s="45">
        <v>0</v>
      </c>
      <c r="E129" s="45">
        <f>3416000-3416000</f>
        <v>0</v>
      </c>
      <c r="F129" s="23">
        <v>0</v>
      </c>
      <c r="G129" s="95"/>
      <c r="H129" s="111"/>
      <c r="I129" s="111"/>
      <c r="J129" s="35"/>
      <c r="K129" s="35"/>
      <c r="L129" s="35"/>
    </row>
    <row r="130" spans="1:12" x14ac:dyDescent="0.2">
      <c r="A130" s="42"/>
      <c r="B130" s="43"/>
      <c r="C130" s="44" t="s">
        <v>133</v>
      </c>
      <c r="D130" s="45">
        <v>0</v>
      </c>
      <c r="E130" s="45">
        <v>2000000</v>
      </c>
      <c r="F130" s="23">
        <f>2000000-822</f>
        <v>1999178</v>
      </c>
      <c r="G130" s="95"/>
      <c r="H130" s="111"/>
      <c r="I130" s="111"/>
      <c r="J130" s="35"/>
      <c r="K130" s="35"/>
      <c r="L130" s="35"/>
    </row>
    <row r="131" spans="1:12" x14ac:dyDescent="0.2">
      <c r="A131" s="42"/>
      <c r="B131" s="46">
        <v>2631</v>
      </c>
      <c r="C131" s="47" t="s">
        <v>145</v>
      </c>
      <c r="D131" s="48">
        <v>0</v>
      </c>
      <c r="E131" s="48">
        <v>3169000</v>
      </c>
      <c r="F131" s="18">
        <f>SUM(2527456.63+640969.87)</f>
        <v>3168426.5</v>
      </c>
      <c r="G131" s="95"/>
      <c r="H131" s="111"/>
      <c r="I131" s="111"/>
      <c r="J131" s="35"/>
      <c r="K131" s="35"/>
      <c r="L131" s="35"/>
    </row>
    <row r="132" spans="1:12" x14ac:dyDescent="0.2">
      <c r="A132" s="42"/>
      <c r="B132" s="43">
        <v>2632</v>
      </c>
      <c r="C132" s="44" t="s">
        <v>134</v>
      </c>
      <c r="D132" s="45">
        <v>0</v>
      </c>
      <c r="E132" s="45">
        <v>3089000</v>
      </c>
      <c r="F132" s="23">
        <v>3088921</v>
      </c>
      <c r="G132" s="95"/>
      <c r="H132" s="111"/>
      <c r="I132" s="111"/>
      <c r="J132" s="35"/>
      <c r="K132" s="35"/>
      <c r="L132" s="35"/>
    </row>
    <row r="133" spans="1:12" ht="13.5" thickBot="1" x14ac:dyDescent="0.25">
      <c r="A133" s="42"/>
      <c r="B133" s="46">
        <v>3952</v>
      </c>
      <c r="C133" s="47" t="s">
        <v>82</v>
      </c>
      <c r="D133" s="48">
        <v>0</v>
      </c>
      <c r="E133" s="48">
        <v>1750000</v>
      </c>
      <c r="F133" s="18">
        <f>SUM(713030.74+725797.44+297018.02)</f>
        <v>1735846.2</v>
      </c>
      <c r="G133" s="95"/>
      <c r="H133" s="121"/>
      <c r="I133" s="111"/>
      <c r="J133" s="35"/>
      <c r="K133" s="35"/>
      <c r="L133" s="35"/>
    </row>
    <row r="134" spans="1:12" ht="14.25" thickTop="1" thickBot="1" x14ac:dyDescent="0.25">
      <c r="A134" s="42"/>
      <c r="B134" s="49"/>
      <c r="C134" s="50" t="s">
        <v>83</v>
      </c>
      <c r="D134" s="51">
        <v>0</v>
      </c>
      <c r="E134" s="51">
        <f>SUM(E119:E133)</f>
        <v>40908000</v>
      </c>
      <c r="F134" s="52">
        <f>SUM(F119:F133)</f>
        <v>31751352.460000001</v>
      </c>
      <c r="G134" s="95"/>
      <c r="H134" s="111"/>
      <c r="I134" s="111"/>
      <c r="J134" s="35"/>
      <c r="K134" s="35"/>
      <c r="L134" s="35"/>
    </row>
    <row r="135" spans="1:12" x14ac:dyDescent="0.2">
      <c r="A135" s="42"/>
      <c r="B135" s="38"/>
      <c r="C135" s="39" t="s">
        <v>84</v>
      </c>
      <c r="D135" s="40">
        <v>0</v>
      </c>
      <c r="E135" s="40">
        <v>551000</v>
      </c>
      <c r="F135" s="41">
        <f>SUM(550640)</f>
        <v>550640</v>
      </c>
      <c r="G135" s="95"/>
      <c r="H135" s="111"/>
      <c r="I135" s="111"/>
      <c r="J135" s="35"/>
      <c r="K135" s="35"/>
      <c r="L135" s="35"/>
    </row>
    <row r="136" spans="1:12" ht="13.5" thickBot="1" x14ac:dyDescent="0.25">
      <c r="A136" s="42"/>
      <c r="B136" s="53"/>
      <c r="C136" s="54" t="s">
        <v>85</v>
      </c>
      <c r="D136" s="55">
        <v>0</v>
      </c>
      <c r="E136" s="55">
        <v>3600000</v>
      </c>
      <c r="F136" s="56">
        <v>3582810</v>
      </c>
      <c r="G136" s="95"/>
      <c r="H136" s="111"/>
      <c r="I136" s="111"/>
      <c r="J136" s="35"/>
      <c r="K136" s="35"/>
      <c r="L136" s="35"/>
    </row>
    <row r="137" spans="1:12" ht="14.25" thickTop="1" thickBot="1" x14ac:dyDescent="0.25">
      <c r="A137" s="42"/>
      <c r="B137" s="49"/>
      <c r="C137" s="50" t="s">
        <v>86</v>
      </c>
      <c r="D137" s="51">
        <v>0</v>
      </c>
      <c r="E137" s="51">
        <f>SUM(E135:E136)</f>
        <v>4151000</v>
      </c>
      <c r="F137" s="52">
        <f>SUM(F135:F136)</f>
        <v>4133450</v>
      </c>
      <c r="G137" s="95"/>
      <c r="H137" s="111"/>
      <c r="I137" s="111"/>
      <c r="J137" s="35"/>
      <c r="K137" s="35"/>
      <c r="L137" s="35"/>
    </row>
    <row r="138" spans="1:12" ht="13.5" thickBot="1" x14ac:dyDescent="0.25">
      <c r="A138" s="138"/>
      <c r="B138" s="134"/>
      <c r="C138" s="135" t="s">
        <v>87</v>
      </c>
      <c r="D138" s="136">
        <v>0</v>
      </c>
      <c r="E138" s="136">
        <f>SUM(E134+E137)</f>
        <v>45059000</v>
      </c>
      <c r="F138" s="137">
        <f>SUM(F134+F137)</f>
        <v>35884802.460000001</v>
      </c>
      <c r="G138" s="35"/>
      <c r="H138" s="111"/>
      <c r="I138" s="111"/>
      <c r="J138" s="35"/>
      <c r="K138" s="35"/>
      <c r="L138" s="35"/>
    </row>
    <row r="139" spans="1:12" x14ac:dyDescent="0.2">
      <c r="A139" s="129" t="s">
        <v>11</v>
      </c>
      <c r="B139" s="125">
        <v>6906</v>
      </c>
      <c r="C139" s="126" t="s">
        <v>88</v>
      </c>
      <c r="D139" s="127">
        <v>0</v>
      </c>
      <c r="E139" s="127">
        <f>1650000-1000000-182000</f>
        <v>468000</v>
      </c>
      <c r="F139" s="131">
        <f>SUM(120464.53+347371.73)</f>
        <v>467836.26</v>
      </c>
      <c r="G139" s="95"/>
      <c r="H139" s="111"/>
      <c r="I139" s="111"/>
      <c r="J139" s="35"/>
      <c r="K139" s="35"/>
      <c r="L139" s="35"/>
    </row>
    <row r="140" spans="1:12" x14ac:dyDescent="0.2">
      <c r="A140" s="42"/>
      <c r="B140" s="46"/>
      <c r="C140" s="47" t="s">
        <v>154</v>
      </c>
      <c r="D140" s="48">
        <v>0</v>
      </c>
      <c r="E140" s="48">
        <v>182000</v>
      </c>
      <c r="F140" s="18">
        <v>181862</v>
      </c>
      <c r="G140" s="95"/>
      <c r="H140" s="111"/>
      <c r="I140" s="111"/>
      <c r="J140" s="35"/>
      <c r="K140" s="35"/>
      <c r="L140" s="35"/>
    </row>
    <row r="141" spans="1:12" x14ac:dyDescent="0.2">
      <c r="A141" s="42"/>
      <c r="B141" s="57">
        <v>6911</v>
      </c>
      <c r="C141" s="58" t="s">
        <v>89</v>
      </c>
      <c r="D141" s="59">
        <v>0</v>
      </c>
      <c r="E141" s="59">
        <f>1000000-1000000</f>
        <v>0</v>
      </c>
      <c r="F141" s="60">
        <v>0</v>
      </c>
      <c r="G141" s="95"/>
      <c r="H141" s="111"/>
      <c r="I141" s="111"/>
      <c r="J141" s="35"/>
      <c r="K141" s="35"/>
      <c r="L141" s="35"/>
    </row>
    <row r="142" spans="1:12" x14ac:dyDescent="0.2">
      <c r="A142" s="42"/>
      <c r="B142" s="57">
        <v>6910</v>
      </c>
      <c r="C142" s="58" t="s">
        <v>90</v>
      </c>
      <c r="D142" s="59">
        <v>0</v>
      </c>
      <c r="E142" s="59">
        <f>2278000-34000</f>
        <v>2244000</v>
      </c>
      <c r="F142" s="60">
        <v>2134591.5</v>
      </c>
      <c r="G142" s="95"/>
      <c r="H142" s="111"/>
      <c r="I142" s="111"/>
      <c r="J142" s="35"/>
      <c r="K142" s="35"/>
      <c r="L142" s="35"/>
    </row>
    <row r="143" spans="1:12" ht="13.5" thickBot="1" x14ac:dyDescent="0.25">
      <c r="A143" s="42"/>
      <c r="B143" s="53"/>
      <c r="C143" s="54" t="s">
        <v>138</v>
      </c>
      <c r="D143" s="55">
        <v>0</v>
      </c>
      <c r="E143" s="55">
        <v>226000</v>
      </c>
      <c r="F143" s="56">
        <v>225060</v>
      </c>
      <c r="G143" s="95"/>
      <c r="H143" s="111"/>
      <c r="I143" s="111"/>
      <c r="J143" s="35"/>
      <c r="K143" s="35"/>
      <c r="L143" s="35"/>
    </row>
    <row r="144" spans="1:12" ht="14.25" thickTop="1" thickBot="1" x14ac:dyDescent="0.25">
      <c r="A144" s="42"/>
      <c r="B144" s="130"/>
      <c r="C144" s="61" t="s">
        <v>83</v>
      </c>
      <c r="D144" s="62">
        <v>0</v>
      </c>
      <c r="E144" s="62">
        <f>SUM(E139:E143)</f>
        <v>3120000</v>
      </c>
      <c r="F144" s="63">
        <f>SUM(F139:F143)</f>
        <v>3009349.76</v>
      </c>
      <c r="G144" s="95"/>
      <c r="H144" s="111"/>
      <c r="I144" s="111"/>
      <c r="J144" s="35"/>
      <c r="K144" s="35"/>
      <c r="L144" s="35"/>
    </row>
    <row r="145" spans="1:12" ht="13.5" thickBot="1" x14ac:dyDescent="0.25">
      <c r="A145" s="156"/>
      <c r="B145" s="139"/>
      <c r="C145" s="140" t="s">
        <v>87</v>
      </c>
      <c r="D145" s="141">
        <v>0</v>
      </c>
      <c r="E145" s="141">
        <f>SUM(E144)</f>
        <v>3120000</v>
      </c>
      <c r="F145" s="142">
        <f>SUM(F144)</f>
        <v>3009349.76</v>
      </c>
      <c r="G145" s="95"/>
      <c r="H145" s="111"/>
      <c r="I145" s="111"/>
      <c r="J145" s="35"/>
      <c r="K145" s="35"/>
      <c r="L145" s="35"/>
    </row>
    <row r="146" spans="1:12" x14ac:dyDescent="0.2">
      <c r="A146" s="42" t="s">
        <v>2</v>
      </c>
      <c r="B146" s="46">
        <v>3908</v>
      </c>
      <c r="C146" s="47" t="s">
        <v>91</v>
      </c>
      <c r="D146" s="48">
        <v>0</v>
      </c>
      <c r="E146" s="48">
        <v>1000000</v>
      </c>
      <c r="F146" s="18">
        <v>1000000</v>
      </c>
      <c r="G146" s="95"/>
      <c r="H146" s="111"/>
      <c r="I146" s="111"/>
      <c r="J146" s="35"/>
      <c r="K146" s="35"/>
      <c r="L146" s="35"/>
    </row>
    <row r="147" spans="1:12" ht="13.5" thickBot="1" x14ac:dyDescent="0.25">
      <c r="A147" s="42"/>
      <c r="B147" s="53">
        <v>8763</v>
      </c>
      <c r="C147" s="54" t="s">
        <v>139</v>
      </c>
      <c r="D147" s="55">
        <v>0</v>
      </c>
      <c r="E147" s="55">
        <v>1933000</v>
      </c>
      <c r="F147" s="56">
        <v>363460.57</v>
      </c>
      <c r="G147" s="95"/>
      <c r="H147" s="111"/>
      <c r="I147" s="111"/>
      <c r="J147" s="35"/>
      <c r="K147" s="35"/>
      <c r="L147" s="35"/>
    </row>
    <row r="148" spans="1:12" ht="14.25" thickTop="1" thickBot="1" x14ac:dyDescent="0.25">
      <c r="A148" s="42"/>
      <c r="B148" s="68"/>
      <c r="C148" s="69" t="s">
        <v>83</v>
      </c>
      <c r="D148" s="70">
        <v>0</v>
      </c>
      <c r="E148" s="70">
        <f>SUM(E146:E147)</f>
        <v>2933000</v>
      </c>
      <c r="F148" s="71">
        <f>SUM(F146:F147)</f>
        <v>1363460.57</v>
      </c>
      <c r="G148" s="95"/>
      <c r="H148" s="111"/>
      <c r="I148" s="111"/>
      <c r="J148" s="35"/>
      <c r="K148" s="35"/>
      <c r="L148" s="35"/>
    </row>
    <row r="149" spans="1:12" ht="13.5" thickBot="1" x14ac:dyDescent="0.25">
      <c r="A149" s="42"/>
      <c r="B149" s="72"/>
      <c r="C149" s="65" t="s">
        <v>92</v>
      </c>
      <c r="D149" s="66">
        <v>0</v>
      </c>
      <c r="E149" s="66">
        <v>200000</v>
      </c>
      <c r="F149" s="67">
        <v>200000</v>
      </c>
      <c r="G149" s="95"/>
      <c r="H149" s="111"/>
      <c r="I149" s="111"/>
      <c r="J149" s="35"/>
      <c r="K149" s="35"/>
      <c r="L149" s="35"/>
    </row>
    <row r="150" spans="1:12" ht="14.25" thickTop="1" thickBot="1" x14ac:dyDescent="0.25">
      <c r="A150" s="42"/>
      <c r="B150" s="73"/>
      <c r="C150" s="50" t="s">
        <v>93</v>
      </c>
      <c r="D150" s="51">
        <v>0</v>
      </c>
      <c r="E150" s="51">
        <v>200000</v>
      </c>
      <c r="F150" s="52">
        <v>200000</v>
      </c>
      <c r="G150" s="95"/>
      <c r="H150" s="111"/>
      <c r="I150" s="111"/>
      <c r="J150" s="35"/>
      <c r="K150" s="35"/>
      <c r="L150" s="35"/>
    </row>
    <row r="151" spans="1:12" ht="13.5" thickBot="1" x14ac:dyDescent="0.25">
      <c r="A151" s="130"/>
      <c r="B151" s="143"/>
      <c r="C151" s="135" t="s">
        <v>87</v>
      </c>
      <c r="D151" s="136">
        <v>0</v>
      </c>
      <c r="E151" s="136">
        <f>SUM(E148+E150)</f>
        <v>3133000</v>
      </c>
      <c r="F151" s="137">
        <f>SUM(F148+F150)</f>
        <v>1563460.57</v>
      </c>
      <c r="G151" s="95"/>
      <c r="H151" s="111"/>
      <c r="I151" s="111"/>
      <c r="J151" s="35"/>
      <c r="K151" s="35"/>
      <c r="L151" s="35"/>
    </row>
    <row r="152" spans="1:12" ht="13.5" thickBot="1" x14ac:dyDescent="0.25">
      <c r="A152" s="42" t="s">
        <v>7</v>
      </c>
      <c r="B152" s="64">
        <v>5901</v>
      </c>
      <c r="C152" s="65" t="s">
        <v>94</v>
      </c>
      <c r="D152" s="66">
        <v>0</v>
      </c>
      <c r="E152" s="66">
        <v>1385000</v>
      </c>
      <c r="F152" s="67">
        <f>708261.01+646558.64</f>
        <v>1354819.65</v>
      </c>
      <c r="G152" s="95"/>
      <c r="H152" s="111"/>
      <c r="I152" s="111"/>
      <c r="J152" s="35"/>
      <c r="K152" s="35"/>
      <c r="L152" s="35"/>
    </row>
    <row r="153" spans="1:12" ht="14.25" thickTop="1" thickBot="1" x14ac:dyDescent="0.25">
      <c r="A153" s="42"/>
      <c r="B153" s="49"/>
      <c r="C153" s="50" t="s">
        <v>83</v>
      </c>
      <c r="D153" s="51">
        <v>0</v>
      </c>
      <c r="E153" s="51">
        <f>SUM(E152)</f>
        <v>1385000</v>
      </c>
      <c r="F153" s="52">
        <f>SUM(F152)</f>
        <v>1354819.65</v>
      </c>
      <c r="G153" s="95"/>
      <c r="H153" s="111"/>
      <c r="I153" s="111"/>
      <c r="J153" s="35"/>
      <c r="K153" s="35"/>
      <c r="L153" s="35"/>
    </row>
    <row r="154" spans="1:12" ht="13.5" thickBot="1" x14ac:dyDescent="0.25">
      <c r="A154" s="130"/>
      <c r="B154" s="139"/>
      <c r="C154" s="140" t="s">
        <v>87</v>
      </c>
      <c r="D154" s="141">
        <v>0</v>
      </c>
      <c r="E154" s="141">
        <f>SUM(E153)</f>
        <v>1385000</v>
      </c>
      <c r="F154" s="142">
        <f>SUM(F153)</f>
        <v>1354819.65</v>
      </c>
      <c r="G154" s="95"/>
      <c r="H154" s="111"/>
      <c r="I154" s="111"/>
      <c r="J154" s="35"/>
      <c r="K154" s="35"/>
      <c r="L154" s="35"/>
    </row>
    <row r="155" spans="1:12" ht="13.5" thickBot="1" x14ac:dyDescent="0.25">
      <c r="A155" s="129" t="s">
        <v>14</v>
      </c>
      <c r="B155" s="64"/>
      <c r="C155" s="65" t="s">
        <v>95</v>
      </c>
      <c r="D155" s="66">
        <v>0</v>
      </c>
      <c r="E155" s="66">
        <f>344000+157000</f>
        <v>501000</v>
      </c>
      <c r="F155" s="67">
        <f>344000+150800</f>
        <v>494800</v>
      </c>
      <c r="G155" s="95"/>
      <c r="H155" s="111"/>
      <c r="I155" s="111"/>
      <c r="J155" s="35"/>
      <c r="K155" s="35"/>
      <c r="L155" s="35"/>
    </row>
    <row r="156" spans="1:12" ht="14.25" thickTop="1" thickBot="1" x14ac:dyDescent="0.25">
      <c r="A156" s="42"/>
      <c r="B156" s="49"/>
      <c r="C156" s="50" t="s">
        <v>83</v>
      </c>
      <c r="D156" s="51">
        <v>0</v>
      </c>
      <c r="E156" s="51">
        <f>SUM(E155)</f>
        <v>501000</v>
      </c>
      <c r="F156" s="52">
        <f>SUM(F155)</f>
        <v>494800</v>
      </c>
      <c r="G156" s="95"/>
      <c r="H156" s="111"/>
      <c r="I156" s="111"/>
      <c r="J156" s="35"/>
      <c r="K156" s="35"/>
      <c r="L156" s="35"/>
    </row>
    <row r="157" spans="1:12" ht="13.5" thickBot="1" x14ac:dyDescent="0.25">
      <c r="A157" s="130"/>
      <c r="B157" s="139"/>
      <c r="C157" s="140" t="s">
        <v>87</v>
      </c>
      <c r="D157" s="141">
        <v>0</v>
      </c>
      <c r="E157" s="141">
        <f>SUM(E156)</f>
        <v>501000</v>
      </c>
      <c r="F157" s="142">
        <f>SUM(F156)</f>
        <v>494800</v>
      </c>
      <c r="G157" s="95"/>
      <c r="H157" s="111"/>
      <c r="I157" s="111"/>
      <c r="J157" s="35"/>
      <c r="K157" s="35"/>
      <c r="L157" s="35"/>
    </row>
    <row r="158" spans="1:12" x14ac:dyDescent="0.2">
      <c r="A158" s="42" t="s">
        <v>17</v>
      </c>
      <c r="B158" s="38"/>
      <c r="C158" s="39" t="s">
        <v>96</v>
      </c>
      <c r="D158" s="40">
        <v>0</v>
      </c>
      <c r="E158" s="40">
        <v>400000</v>
      </c>
      <c r="F158" s="41">
        <f>SUM(200000+200000)</f>
        <v>400000</v>
      </c>
      <c r="G158" s="95"/>
      <c r="H158" s="111"/>
      <c r="I158" s="111"/>
      <c r="J158" s="35"/>
      <c r="K158" s="35"/>
      <c r="L158" s="35"/>
    </row>
    <row r="159" spans="1:12" ht="13.5" thickBot="1" x14ac:dyDescent="0.25">
      <c r="A159" s="156"/>
      <c r="B159" s="158">
        <v>3950</v>
      </c>
      <c r="C159" s="159" t="s">
        <v>97</v>
      </c>
      <c r="D159" s="160">
        <v>0</v>
      </c>
      <c r="E159" s="160">
        <v>3195000</v>
      </c>
      <c r="F159" s="161">
        <v>3194369</v>
      </c>
      <c r="G159" s="95"/>
      <c r="H159" s="111"/>
      <c r="I159" s="111"/>
      <c r="J159" s="35"/>
      <c r="K159" s="35"/>
      <c r="L159" s="35"/>
    </row>
    <row r="160" spans="1:12" ht="13.5" thickBot="1" x14ac:dyDescent="0.25">
      <c r="A160" s="6"/>
      <c r="B160" s="157"/>
      <c r="C160" s="47"/>
      <c r="D160" s="88"/>
      <c r="E160" s="88"/>
      <c r="F160" s="88"/>
      <c r="G160" s="95"/>
      <c r="H160" s="111"/>
      <c r="I160" s="111"/>
      <c r="J160" s="35"/>
      <c r="K160" s="35"/>
      <c r="L160" s="35"/>
    </row>
    <row r="161" spans="1:12" x14ac:dyDescent="0.2">
      <c r="A161" s="182" t="s">
        <v>0</v>
      </c>
      <c r="B161" s="173" t="s">
        <v>74</v>
      </c>
      <c r="C161" s="175" t="s">
        <v>24</v>
      </c>
      <c r="D161" s="184" t="s">
        <v>166</v>
      </c>
      <c r="E161" s="184" t="s">
        <v>167</v>
      </c>
      <c r="F161" s="186" t="s">
        <v>25</v>
      </c>
      <c r="G161" s="35"/>
      <c r="H161" s="111"/>
      <c r="I161" s="111"/>
      <c r="J161" s="35"/>
      <c r="K161" s="35"/>
      <c r="L161" s="35"/>
    </row>
    <row r="162" spans="1:12" ht="13.5" thickBot="1" x14ac:dyDescent="0.25">
      <c r="A162" s="183"/>
      <c r="B162" s="174"/>
      <c r="C162" s="176"/>
      <c r="D162" s="185"/>
      <c r="E162" s="185"/>
      <c r="F162" s="187"/>
      <c r="G162" s="95"/>
      <c r="H162" s="111"/>
      <c r="I162" s="111"/>
      <c r="J162" s="35"/>
      <c r="K162" s="35"/>
      <c r="L162" s="35"/>
    </row>
    <row r="163" spans="1:12" ht="13.5" thickBot="1" x14ac:dyDescent="0.25">
      <c r="A163" s="42" t="s">
        <v>17</v>
      </c>
      <c r="B163" s="156"/>
      <c r="C163" s="61" t="s">
        <v>83</v>
      </c>
      <c r="D163" s="62">
        <v>0</v>
      </c>
      <c r="E163" s="62">
        <f>SUM(E158:E159)</f>
        <v>3595000</v>
      </c>
      <c r="F163" s="63">
        <f>SUM(F158:F159)</f>
        <v>3594369</v>
      </c>
      <c r="G163" s="95"/>
      <c r="H163" s="111"/>
      <c r="I163" s="111"/>
      <c r="J163" s="35"/>
      <c r="K163" s="35"/>
      <c r="L163" s="35"/>
    </row>
    <row r="164" spans="1:12" ht="13.5" thickBot="1" x14ac:dyDescent="0.25">
      <c r="A164" s="130"/>
      <c r="B164" s="139"/>
      <c r="C164" s="140" t="s">
        <v>87</v>
      </c>
      <c r="D164" s="141">
        <v>0</v>
      </c>
      <c r="E164" s="141">
        <f>SUM(E163)</f>
        <v>3595000</v>
      </c>
      <c r="F164" s="142">
        <f>SUM(F163)</f>
        <v>3594369</v>
      </c>
      <c r="G164" s="95"/>
      <c r="H164" s="111"/>
      <c r="I164" s="111"/>
      <c r="J164" s="35"/>
      <c r="K164" s="35"/>
      <c r="L164" s="35"/>
    </row>
    <row r="165" spans="1:12" ht="13.5" thickBot="1" x14ac:dyDescent="0.25">
      <c r="A165" s="42" t="s">
        <v>18</v>
      </c>
      <c r="B165" s="64"/>
      <c r="C165" s="65" t="s">
        <v>98</v>
      </c>
      <c r="D165" s="66">
        <v>0</v>
      </c>
      <c r="E165" s="66">
        <v>4000000</v>
      </c>
      <c r="F165" s="67">
        <v>3826252.12</v>
      </c>
      <c r="G165" s="95"/>
      <c r="H165" s="111"/>
      <c r="I165" s="111"/>
      <c r="J165" s="35"/>
      <c r="K165" s="35"/>
      <c r="L165" s="35"/>
    </row>
    <row r="166" spans="1:12" ht="14.25" thickTop="1" thickBot="1" x14ac:dyDescent="0.25">
      <c r="A166" s="42"/>
      <c r="B166" s="130"/>
      <c r="C166" s="61" t="s">
        <v>83</v>
      </c>
      <c r="D166" s="62">
        <v>0</v>
      </c>
      <c r="E166" s="62">
        <f>SUM(E165)</f>
        <v>4000000</v>
      </c>
      <c r="F166" s="63">
        <f>SUM(F165)</f>
        <v>3826252.12</v>
      </c>
      <c r="G166" s="95"/>
      <c r="H166" s="111"/>
      <c r="I166" s="111"/>
      <c r="J166" s="35"/>
      <c r="K166" s="35"/>
      <c r="L166" s="35"/>
    </row>
    <row r="167" spans="1:12" ht="13.5" thickBot="1" x14ac:dyDescent="0.25">
      <c r="A167" s="42"/>
      <c r="B167" s="134"/>
      <c r="C167" s="135" t="s">
        <v>87</v>
      </c>
      <c r="D167" s="136">
        <v>0</v>
      </c>
      <c r="E167" s="136">
        <f>SUM(E166)</f>
        <v>4000000</v>
      </c>
      <c r="F167" s="137">
        <f>SUM(F166)</f>
        <v>3826252.12</v>
      </c>
      <c r="G167" s="95"/>
      <c r="H167" s="111"/>
      <c r="I167" s="111"/>
      <c r="J167" s="35"/>
      <c r="K167" s="35"/>
      <c r="L167" s="35"/>
    </row>
    <row r="168" spans="1:12" x14ac:dyDescent="0.2">
      <c r="A168" s="129" t="s">
        <v>4</v>
      </c>
      <c r="B168" s="38">
        <v>6903</v>
      </c>
      <c r="C168" s="39" t="s">
        <v>99</v>
      </c>
      <c r="D168" s="40">
        <v>0</v>
      </c>
      <c r="E168" s="40">
        <v>5700000</v>
      </c>
      <c r="F168" s="41">
        <f>SUM(543118.35+595325.12+1342960.72+3218595.81)</f>
        <v>5700000</v>
      </c>
      <c r="G168" s="95"/>
      <c r="H168" s="111"/>
      <c r="I168" s="111"/>
      <c r="J168" s="112"/>
      <c r="K168" s="35"/>
      <c r="L168" s="35"/>
    </row>
    <row r="169" spans="1:12" x14ac:dyDescent="0.2">
      <c r="A169" s="42"/>
      <c r="B169" s="57">
        <v>6902</v>
      </c>
      <c r="C169" s="58" t="s">
        <v>172</v>
      </c>
      <c r="D169" s="59">
        <v>0</v>
      </c>
      <c r="E169" s="59">
        <v>5000000</v>
      </c>
      <c r="F169" s="60">
        <f>SUM(11616+48400+774417.97+1741022.84+20000+15000+2389461.5)</f>
        <v>4999918.3100000005</v>
      </c>
      <c r="G169" s="95"/>
      <c r="H169" s="111"/>
      <c r="I169" s="111"/>
      <c r="J169" s="35"/>
      <c r="K169" s="35"/>
      <c r="L169" s="35"/>
    </row>
    <row r="170" spans="1:12" x14ac:dyDescent="0.2">
      <c r="A170" s="42"/>
      <c r="B170" s="57">
        <v>6907</v>
      </c>
      <c r="C170" s="58" t="s">
        <v>100</v>
      </c>
      <c r="D170" s="59">
        <v>0</v>
      </c>
      <c r="E170" s="59">
        <v>1200000</v>
      </c>
      <c r="F170" s="60">
        <v>1199999.3500000001</v>
      </c>
      <c r="G170" s="95"/>
      <c r="H170" s="111"/>
      <c r="I170" s="111"/>
      <c r="J170" s="35"/>
      <c r="K170" s="35"/>
      <c r="L170" s="35"/>
    </row>
    <row r="171" spans="1:12" x14ac:dyDescent="0.2">
      <c r="A171" s="42"/>
      <c r="B171" s="43">
        <v>6909</v>
      </c>
      <c r="C171" s="44" t="s">
        <v>101</v>
      </c>
      <c r="D171" s="45">
        <v>0</v>
      </c>
      <c r="E171" s="45">
        <v>436000</v>
      </c>
      <c r="F171" s="23">
        <f>433180</f>
        <v>433180</v>
      </c>
      <c r="G171" s="95"/>
      <c r="H171" s="111"/>
      <c r="I171" s="111"/>
      <c r="J171" s="35"/>
      <c r="K171" s="35"/>
      <c r="L171" s="35"/>
    </row>
    <row r="172" spans="1:12" ht="13.5" thickBot="1" x14ac:dyDescent="0.25">
      <c r="A172" s="42"/>
      <c r="B172" s="46">
        <v>3951</v>
      </c>
      <c r="C172" s="47" t="s">
        <v>102</v>
      </c>
      <c r="D172" s="48">
        <v>0</v>
      </c>
      <c r="E172" s="48">
        <v>873000</v>
      </c>
      <c r="F172" s="18">
        <v>872999.98</v>
      </c>
      <c r="G172" s="95"/>
      <c r="H172" s="111"/>
      <c r="I172" s="111"/>
      <c r="J172" s="35"/>
      <c r="K172" s="35"/>
      <c r="L172" s="35"/>
    </row>
    <row r="173" spans="1:12" ht="14.25" thickTop="1" thickBot="1" x14ac:dyDescent="0.25">
      <c r="A173" s="42"/>
      <c r="B173" s="49"/>
      <c r="C173" s="50" t="s">
        <v>83</v>
      </c>
      <c r="D173" s="51">
        <v>0</v>
      </c>
      <c r="E173" s="51">
        <f>SUM(E168:E172)</f>
        <v>13209000</v>
      </c>
      <c r="F173" s="52">
        <f>SUM(F168:F172)</f>
        <v>13206097.640000001</v>
      </c>
      <c r="G173" s="95"/>
      <c r="H173" s="111"/>
      <c r="I173" s="111"/>
      <c r="J173" s="35"/>
      <c r="K173" s="35"/>
      <c r="L173" s="35"/>
    </row>
    <row r="174" spans="1:12" ht="13.5" thickBot="1" x14ac:dyDescent="0.25">
      <c r="A174" s="42"/>
      <c r="B174" s="134"/>
      <c r="C174" s="135" t="s">
        <v>87</v>
      </c>
      <c r="D174" s="136">
        <v>0</v>
      </c>
      <c r="E174" s="136">
        <f>SUM(E173)</f>
        <v>13209000</v>
      </c>
      <c r="F174" s="137">
        <f>SUM(F173)</f>
        <v>13206097.640000001</v>
      </c>
      <c r="G174" s="95"/>
      <c r="H174" s="111"/>
      <c r="I174" s="111"/>
      <c r="J174" s="35"/>
      <c r="K174" s="35"/>
      <c r="L174" s="35"/>
    </row>
    <row r="175" spans="1:12" x14ac:dyDescent="0.2">
      <c r="A175" s="129" t="s">
        <v>9</v>
      </c>
      <c r="B175" s="38">
        <v>5642</v>
      </c>
      <c r="C175" s="39" t="s">
        <v>103</v>
      </c>
      <c r="D175" s="40">
        <v>0</v>
      </c>
      <c r="E175" s="40">
        <v>180000</v>
      </c>
      <c r="F175" s="41">
        <v>180000</v>
      </c>
      <c r="G175" s="120"/>
      <c r="H175" s="95"/>
      <c r="I175" s="111"/>
      <c r="J175" s="35"/>
      <c r="K175" s="35"/>
      <c r="L175" s="35"/>
    </row>
    <row r="176" spans="1:12" x14ac:dyDescent="0.2">
      <c r="A176" s="42"/>
      <c r="B176" s="57"/>
      <c r="C176" s="58" t="s">
        <v>104</v>
      </c>
      <c r="D176" s="59">
        <v>0</v>
      </c>
      <c r="E176" s="59">
        <v>278000</v>
      </c>
      <c r="F176" s="60">
        <v>278000</v>
      </c>
      <c r="G176" s="120"/>
      <c r="H176" s="111"/>
      <c r="I176" s="111"/>
      <c r="J176" s="35"/>
      <c r="K176" s="35"/>
      <c r="L176" s="35"/>
    </row>
    <row r="177" spans="1:12" x14ac:dyDescent="0.2">
      <c r="A177" s="42"/>
      <c r="B177" s="57"/>
      <c r="C177" s="58" t="s">
        <v>168</v>
      </c>
      <c r="D177" s="59">
        <v>0</v>
      </c>
      <c r="E177" s="59">
        <v>917000</v>
      </c>
      <c r="F177" s="60">
        <v>835212.80000000005</v>
      </c>
      <c r="G177" s="95"/>
      <c r="H177" s="111"/>
      <c r="I177" s="111"/>
      <c r="J177" s="35"/>
      <c r="K177" s="35"/>
      <c r="L177" s="35"/>
    </row>
    <row r="178" spans="1:12" x14ac:dyDescent="0.2">
      <c r="A178" s="42"/>
      <c r="B178" s="43">
        <v>4611</v>
      </c>
      <c r="C178" s="44" t="s">
        <v>140</v>
      </c>
      <c r="D178" s="45">
        <v>0</v>
      </c>
      <c r="E178" s="45">
        <v>140000</v>
      </c>
      <c r="F178" s="23">
        <v>140000</v>
      </c>
      <c r="G178" s="95"/>
      <c r="H178" s="111"/>
      <c r="I178" s="111"/>
      <c r="J178" s="35"/>
      <c r="K178" s="35"/>
      <c r="L178" s="35"/>
    </row>
    <row r="179" spans="1:12" x14ac:dyDescent="0.2">
      <c r="A179" s="42"/>
      <c r="B179" s="43">
        <v>8764</v>
      </c>
      <c r="C179" s="44" t="s">
        <v>141</v>
      </c>
      <c r="D179" s="45">
        <v>0</v>
      </c>
      <c r="E179" s="45">
        <v>150000</v>
      </c>
      <c r="F179" s="23">
        <v>150000</v>
      </c>
      <c r="G179" s="120"/>
      <c r="H179" s="111"/>
      <c r="I179" s="111"/>
      <c r="J179" s="35"/>
      <c r="K179" s="35"/>
      <c r="L179" s="35"/>
    </row>
    <row r="180" spans="1:12" x14ac:dyDescent="0.2">
      <c r="A180" s="42"/>
      <c r="B180" s="43">
        <v>8765</v>
      </c>
      <c r="C180" s="44" t="s">
        <v>142</v>
      </c>
      <c r="D180" s="45">
        <v>0</v>
      </c>
      <c r="E180" s="45">
        <v>490000</v>
      </c>
      <c r="F180" s="23">
        <v>404298.56</v>
      </c>
      <c r="G180" s="120"/>
      <c r="H180" s="111"/>
      <c r="I180" s="111"/>
      <c r="J180" s="35"/>
      <c r="K180" s="35"/>
      <c r="L180" s="35"/>
    </row>
    <row r="181" spans="1:12" ht="13.5" thickBot="1" x14ac:dyDescent="0.25">
      <c r="A181" s="42"/>
      <c r="B181" s="46">
        <v>8766</v>
      </c>
      <c r="C181" s="47" t="s">
        <v>143</v>
      </c>
      <c r="D181" s="48">
        <v>0</v>
      </c>
      <c r="E181" s="48">
        <v>182000</v>
      </c>
      <c r="F181" s="18">
        <v>182000</v>
      </c>
      <c r="G181" s="120"/>
      <c r="H181" s="111"/>
      <c r="I181" s="111"/>
      <c r="J181" s="35"/>
      <c r="K181" s="35"/>
      <c r="L181" s="35"/>
    </row>
    <row r="182" spans="1:12" ht="14.25" thickTop="1" thickBot="1" x14ac:dyDescent="0.25">
      <c r="A182" s="42"/>
      <c r="B182" s="49"/>
      <c r="C182" s="50" t="s">
        <v>83</v>
      </c>
      <c r="D182" s="51">
        <v>0</v>
      </c>
      <c r="E182" s="51">
        <f>SUM(E175:E181)</f>
        <v>2337000</v>
      </c>
      <c r="F182" s="52">
        <f>SUM(F175:F181)</f>
        <v>2169511.3600000003</v>
      </c>
      <c r="G182" s="95"/>
      <c r="H182" s="111"/>
      <c r="I182" s="111"/>
      <c r="J182" s="35"/>
      <c r="K182" s="35"/>
      <c r="L182" s="35"/>
    </row>
    <row r="183" spans="1:12" ht="13.5" thickBot="1" x14ac:dyDescent="0.25">
      <c r="A183" s="130"/>
      <c r="B183" s="139"/>
      <c r="C183" s="140" t="s">
        <v>87</v>
      </c>
      <c r="D183" s="141">
        <v>0</v>
      </c>
      <c r="E183" s="141">
        <f>SUM(E182)</f>
        <v>2337000</v>
      </c>
      <c r="F183" s="142">
        <f>SUM(F182)</f>
        <v>2169511.3600000003</v>
      </c>
      <c r="G183" s="95"/>
      <c r="H183" s="111"/>
      <c r="I183" s="111"/>
      <c r="J183" s="35"/>
      <c r="K183" s="35"/>
      <c r="L183" s="35"/>
    </row>
    <row r="184" spans="1:12" x14ac:dyDescent="0.2">
      <c r="A184" s="129" t="s">
        <v>13</v>
      </c>
      <c r="B184" s="38"/>
      <c r="C184" s="39" t="s">
        <v>105</v>
      </c>
      <c r="D184" s="40">
        <v>0</v>
      </c>
      <c r="E184" s="40">
        <v>176000</v>
      </c>
      <c r="F184" s="41">
        <v>0</v>
      </c>
      <c r="G184" s="95"/>
      <c r="H184" s="111"/>
      <c r="I184" s="111"/>
      <c r="J184" s="35"/>
      <c r="K184" s="35"/>
      <c r="L184" s="35"/>
    </row>
    <row r="185" spans="1:12" ht="13.5" thickBot="1" x14ac:dyDescent="0.25">
      <c r="A185" s="42"/>
      <c r="B185" s="53"/>
      <c r="C185" s="54" t="s">
        <v>144</v>
      </c>
      <c r="D185" s="55">
        <v>0</v>
      </c>
      <c r="E185" s="55">
        <v>183000</v>
      </c>
      <c r="F185" s="56">
        <v>0</v>
      </c>
      <c r="G185" s="120"/>
      <c r="H185" s="111"/>
      <c r="I185" s="111"/>
      <c r="J185" s="35"/>
      <c r="K185" s="35"/>
      <c r="L185" s="35"/>
    </row>
    <row r="186" spans="1:12" ht="14.25" thickTop="1" thickBot="1" x14ac:dyDescent="0.25">
      <c r="A186" s="42"/>
      <c r="B186" s="49"/>
      <c r="C186" s="50" t="s">
        <v>83</v>
      </c>
      <c r="D186" s="51">
        <v>0</v>
      </c>
      <c r="E186" s="51">
        <f>SUM(E184:E185)</f>
        <v>359000</v>
      </c>
      <c r="F186" s="52">
        <f>SUM(F184)</f>
        <v>0</v>
      </c>
      <c r="G186" s="95"/>
      <c r="H186" s="111"/>
      <c r="I186" s="111"/>
      <c r="J186" s="35"/>
      <c r="K186" s="35"/>
      <c r="L186" s="35"/>
    </row>
    <row r="187" spans="1:12" ht="13.5" thickBot="1" x14ac:dyDescent="0.25">
      <c r="A187" s="130"/>
      <c r="B187" s="139"/>
      <c r="C187" s="140" t="s">
        <v>87</v>
      </c>
      <c r="D187" s="141">
        <v>0</v>
      </c>
      <c r="E187" s="141">
        <f>SUM(E186)</f>
        <v>359000</v>
      </c>
      <c r="F187" s="142">
        <f>SUM(F186)</f>
        <v>0</v>
      </c>
      <c r="G187" s="95"/>
      <c r="H187" s="111"/>
      <c r="I187" s="111"/>
      <c r="J187" s="35"/>
      <c r="K187" s="35"/>
      <c r="L187" s="35"/>
    </row>
    <row r="188" spans="1:12" ht="13.5" thickBot="1" x14ac:dyDescent="0.25">
      <c r="A188" s="42" t="s">
        <v>3</v>
      </c>
      <c r="B188" s="74">
        <v>6608</v>
      </c>
      <c r="C188" s="75" t="s">
        <v>106</v>
      </c>
      <c r="D188" s="76">
        <v>0</v>
      </c>
      <c r="E188" s="76">
        <v>2000000</v>
      </c>
      <c r="F188" s="77">
        <v>2000000</v>
      </c>
      <c r="G188" s="95"/>
      <c r="H188" s="111"/>
      <c r="I188" s="111"/>
      <c r="J188" s="35"/>
      <c r="K188" s="35"/>
      <c r="L188" s="35"/>
    </row>
    <row r="189" spans="1:12" ht="14.25" thickTop="1" thickBot="1" x14ac:dyDescent="0.25">
      <c r="A189" s="42"/>
      <c r="B189" s="49"/>
      <c r="C189" s="50" t="s">
        <v>83</v>
      </c>
      <c r="D189" s="51">
        <v>0</v>
      </c>
      <c r="E189" s="51">
        <f>SUM(E188)</f>
        <v>2000000</v>
      </c>
      <c r="F189" s="52">
        <f>SUM(F188)</f>
        <v>2000000</v>
      </c>
      <c r="G189" s="95"/>
      <c r="H189" s="111"/>
      <c r="I189" s="111"/>
      <c r="J189" s="35"/>
      <c r="K189" s="35"/>
      <c r="L189" s="35"/>
    </row>
    <row r="190" spans="1:12" ht="13.5" thickBot="1" x14ac:dyDescent="0.25">
      <c r="A190" s="42"/>
      <c r="B190" s="134"/>
      <c r="C190" s="135" t="s">
        <v>87</v>
      </c>
      <c r="D190" s="136">
        <v>0</v>
      </c>
      <c r="E190" s="136">
        <f>SUM(E189)</f>
        <v>2000000</v>
      </c>
      <c r="F190" s="137">
        <f>SUM(F189)</f>
        <v>2000000</v>
      </c>
      <c r="G190" s="95"/>
      <c r="H190" s="111"/>
      <c r="I190" s="111"/>
      <c r="J190" s="35"/>
      <c r="K190" s="35"/>
      <c r="L190" s="35"/>
    </row>
    <row r="191" spans="1:12" ht="13.5" thickBot="1" x14ac:dyDescent="0.25">
      <c r="A191" s="129" t="s">
        <v>10</v>
      </c>
      <c r="B191" s="64">
        <v>3938</v>
      </c>
      <c r="C191" s="65" t="s">
        <v>107</v>
      </c>
      <c r="D191" s="66">
        <v>0</v>
      </c>
      <c r="E191" s="66">
        <v>1074000</v>
      </c>
      <c r="F191" s="67">
        <f>SUM(269328.59+237709.95+253716.67+290409.68+22835.11)</f>
        <v>1074000.0000000002</v>
      </c>
      <c r="G191" s="95"/>
      <c r="H191" s="111"/>
      <c r="I191" s="121"/>
      <c r="J191" s="112"/>
      <c r="K191" s="112"/>
      <c r="L191" s="35"/>
    </row>
    <row r="192" spans="1:12" ht="14.25" thickTop="1" thickBot="1" x14ac:dyDescent="0.25">
      <c r="A192" s="42"/>
      <c r="B192" s="49"/>
      <c r="C192" s="50" t="s">
        <v>83</v>
      </c>
      <c r="D192" s="51">
        <v>0</v>
      </c>
      <c r="E192" s="51">
        <f>SUM(E191)</f>
        <v>1074000</v>
      </c>
      <c r="F192" s="52">
        <f>SUM(F191)</f>
        <v>1074000.0000000002</v>
      </c>
      <c r="G192" s="95"/>
      <c r="H192" s="111"/>
      <c r="I192" s="111"/>
      <c r="J192" s="35"/>
      <c r="K192" s="35"/>
      <c r="L192" s="35"/>
    </row>
    <row r="193" spans="1:12" ht="13.5" thickBot="1" x14ac:dyDescent="0.25">
      <c r="A193" s="130"/>
      <c r="B193" s="134"/>
      <c r="C193" s="135" t="s">
        <v>87</v>
      </c>
      <c r="D193" s="136">
        <v>0</v>
      </c>
      <c r="E193" s="136">
        <f>SUM(E192)</f>
        <v>1074000</v>
      </c>
      <c r="F193" s="137">
        <f>SUM(F192)</f>
        <v>1074000.0000000002</v>
      </c>
      <c r="G193" s="95"/>
      <c r="H193" s="111"/>
      <c r="I193" s="111"/>
      <c r="J193" s="35"/>
      <c r="K193" s="35"/>
      <c r="L193" s="35"/>
    </row>
    <row r="194" spans="1:12" x14ac:dyDescent="0.2">
      <c r="A194" s="129" t="s">
        <v>19</v>
      </c>
      <c r="B194" s="38">
        <v>8759</v>
      </c>
      <c r="C194" s="39" t="s">
        <v>108</v>
      </c>
      <c r="D194" s="40">
        <v>0</v>
      </c>
      <c r="E194" s="40">
        <f>5518000-1040000-60000</f>
        <v>4418000</v>
      </c>
      <c r="F194" s="41">
        <f>SUM(169646.21+422077.89+119582.97+550776.05+143998.04+669704.94+669850.65+855802.12+1400+815161.13)</f>
        <v>4418000</v>
      </c>
      <c r="G194" s="95"/>
      <c r="H194" s="111"/>
      <c r="I194" s="111"/>
      <c r="J194" s="35"/>
      <c r="K194" s="35"/>
      <c r="L194" s="35"/>
    </row>
    <row r="195" spans="1:12" ht="13.5" thickBot="1" x14ac:dyDescent="0.25">
      <c r="A195" s="42"/>
      <c r="B195" s="43"/>
      <c r="C195" s="44" t="s">
        <v>109</v>
      </c>
      <c r="D195" s="45">
        <v>0</v>
      </c>
      <c r="E195" s="45">
        <f>60000+2040000</f>
        <v>2100000</v>
      </c>
      <c r="F195" s="23">
        <f>60000+2039000+1000</f>
        <v>2100000</v>
      </c>
      <c r="G195" s="95"/>
      <c r="H195" s="111"/>
      <c r="I195" s="111"/>
      <c r="J195" s="35"/>
      <c r="K195" s="35"/>
      <c r="L195" s="35"/>
    </row>
    <row r="196" spans="1:12" ht="14.25" thickTop="1" thickBot="1" x14ac:dyDescent="0.25">
      <c r="A196" s="156"/>
      <c r="B196" s="49"/>
      <c r="C196" s="50" t="s">
        <v>83</v>
      </c>
      <c r="D196" s="51">
        <v>0</v>
      </c>
      <c r="E196" s="51">
        <f>SUM(E194:E195)</f>
        <v>6518000</v>
      </c>
      <c r="F196" s="52">
        <f>SUM(F194:F195)</f>
        <v>6518000</v>
      </c>
      <c r="G196" s="95"/>
      <c r="H196" s="111"/>
      <c r="I196" s="111"/>
      <c r="J196" s="35"/>
      <c r="K196" s="35"/>
      <c r="L196" s="35"/>
    </row>
    <row r="197" spans="1:12" ht="13.5" thickBot="1" x14ac:dyDescent="0.25">
      <c r="A197" s="6"/>
      <c r="B197" s="6"/>
      <c r="C197" s="69"/>
      <c r="D197" s="104"/>
      <c r="E197" s="104"/>
      <c r="F197" s="104"/>
      <c r="G197" s="95"/>
      <c r="H197" s="111"/>
      <c r="I197" s="111"/>
      <c r="J197" s="35"/>
      <c r="K197" s="35"/>
      <c r="L197" s="35"/>
    </row>
    <row r="198" spans="1:12" x14ac:dyDescent="0.2">
      <c r="A198" s="182" t="s">
        <v>0</v>
      </c>
      <c r="B198" s="173" t="s">
        <v>74</v>
      </c>
      <c r="C198" s="175" t="s">
        <v>24</v>
      </c>
      <c r="D198" s="184" t="s">
        <v>166</v>
      </c>
      <c r="E198" s="184" t="s">
        <v>167</v>
      </c>
      <c r="F198" s="186" t="s">
        <v>25</v>
      </c>
      <c r="G198" s="35"/>
      <c r="H198" s="111"/>
      <c r="I198" s="111"/>
      <c r="J198" s="35"/>
      <c r="K198" s="35"/>
      <c r="L198" s="35"/>
    </row>
    <row r="199" spans="1:12" ht="13.5" thickBot="1" x14ac:dyDescent="0.25">
      <c r="A199" s="183"/>
      <c r="B199" s="174"/>
      <c r="C199" s="176"/>
      <c r="D199" s="185"/>
      <c r="E199" s="185"/>
      <c r="F199" s="187"/>
      <c r="G199" s="95"/>
      <c r="H199" s="111"/>
      <c r="I199" s="111"/>
      <c r="J199" s="35"/>
      <c r="K199" s="35"/>
      <c r="L199" s="35"/>
    </row>
    <row r="200" spans="1:12" ht="13.5" thickBot="1" x14ac:dyDescent="0.25">
      <c r="A200" s="130" t="s">
        <v>19</v>
      </c>
      <c r="B200" s="144"/>
      <c r="C200" s="140" t="s">
        <v>87</v>
      </c>
      <c r="D200" s="141">
        <v>0</v>
      </c>
      <c r="E200" s="141">
        <f>SUM(E196)</f>
        <v>6518000</v>
      </c>
      <c r="F200" s="142">
        <f>SUM(F196)</f>
        <v>6518000</v>
      </c>
      <c r="G200" s="95"/>
      <c r="H200" s="111"/>
      <c r="I200" s="111"/>
      <c r="J200" s="35"/>
      <c r="K200" s="35"/>
      <c r="L200" s="35"/>
    </row>
    <row r="201" spans="1:12" x14ac:dyDescent="0.2">
      <c r="A201" s="129" t="s">
        <v>20</v>
      </c>
      <c r="B201" s="38">
        <v>3940</v>
      </c>
      <c r="C201" s="39" t="s">
        <v>110</v>
      </c>
      <c r="D201" s="40">
        <v>0</v>
      </c>
      <c r="E201" s="40">
        <v>1250000</v>
      </c>
      <c r="F201" s="41">
        <f>SUM(787884.29*1.21)+179461.04+117198.97</f>
        <v>1250000.0008999999</v>
      </c>
      <c r="G201" s="95"/>
      <c r="H201" s="111"/>
      <c r="I201" s="111"/>
      <c r="J201" s="35"/>
      <c r="K201" s="35"/>
      <c r="L201" s="35"/>
    </row>
    <row r="202" spans="1:12" ht="13.5" thickBot="1" x14ac:dyDescent="0.25">
      <c r="A202" s="42"/>
      <c r="B202" s="53">
        <v>3941</v>
      </c>
      <c r="C202" s="54" t="s">
        <v>111</v>
      </c>
      <c r="D202" s="55">
        <v>0</v>
      </c>
      <c r="E202" s="55">
        <v>1250000</v>
      </c>
      <c r="F202" s="56">
        <f>SUM(657032.28*1.21)+394758.44+60232.5</f>
        <v>1249999.9987999999</v>
      </c>
      <c r="G202" s="95"/>
      <c r="H202" s="111"/>
      <c r="I202" s="111"/>
      <c r="J202" s="35"/>
      <c r="K202" s="35"/>
      <c r="L202" s="35"/>
    </row>
    <row r="203" spans="1:12" ht="14.25" thickTop="1" thickBot="1" x14ac:dyDescent="0.25">
      <c r="A203" s="42"/>
      <c r="B203" s="49"/>
      <c r="C203" s="50" t="s">
        <v>83</v>
      </c>
      <c r="D203" s="51">
        <v>0</v>
      </c>
      <c r="E203" s="51">
        <f>SUM(E201:E202)</f>
        <v>2500000</v>
      </c>
      <c r="F203" s="52">
        <f>SUM(F201:F202)</f>
        <v>2499999.9996999996</v>
      </c>
      <c r="G203" s="95"/>
      <c r="H203" s="111"/>
      <c r="I203" s="111"/>
      <c r="J203" s="35"/>
      <c r="K203" s="35"/>
      <c r="L203" s="35"/>
    </row>
    <row r="204" spans="1:12" ht="13.5" thickBot="1" x14ac:dyDescent="0.25">
      <c r="A204" s="42"/>
      <c r="B204" s="74"/>
      <c r="C204" s="75" t="s">
        <v>112</v>
      </c>
      <c r="D204" s="76">
        <v>0</v>
      </c>
      <c r="E204" s="76">
        <v>77000</v>
      </c>
      <c r="F204" s="77">
        <f>27700+24200+12100</f>
        <v>64000</v>
      </c>
      <c r="G204" s="96"/>
      <c r="H204" s="113"/>
      <c r="I204" s="113"/>
      <c r="J204" s="34"/>
      <c r="K204" s="34"/>
      <c r="L204" s="34"/>
    </row>
    <row r="205" spans="1:12" ht="14.25" thickTop="1" thickBot="1" x14ac:dyDescent="0.25">
      <c r="A205" s="42"/>
      <c r="B205" s="49"/>
      <c r="C205" s="50" t="s">
        <v>113</v>
      </c>
      <c r="D205" s="51">
        <v>0</v>
      </c>
      <c r="E205" s="51">
        <v>77000</v>
      </c>
      <c r="F205" s="52">
        <f>SUM(F204)</f>
        <v>64000</v>
      </c>
      <c r="G205" s="95"/>
      <c r="H205" s="111"/>
      <c r="I205" s="111"/>
      <c r="J205" s="35"/>
      <c r="K205" s="35"/>
      <c r="L205" s="35"/>
    </row>
    <row r="206" spans="1:12" ht="13.5" thickBot="1" x14ac:dyDescent="0.25">
      <c r="A206" s="42"/>
      <c r="B206" s="143"/>
      <c r="C206" s="135" t="s">
        <v>87</v>
      </c>
      <c r="D206" s="136">
        <v>0</v>
      </c>
      <c r="E206" s="136">
        <f>SUM(E203+E205)</f>
        <v>2577000</v>
      </c>
      <c r="F206" s="137">
        <f>SUM(F203+F205)</f>
        <v>2563999.9996999996</v>
      </c>
      <c r="G206" s="95"/>
      <c r="H206" s="111"/>
      <c r="I206" s="111"/>
      <c r="J206" s="35"/>
      <c r="K206" s="35"/>
      <c r="L206" s="35"/>
    </row>
    <row r="207" spans="1:12" x14ac:dyDescent="0.2">
      <c r="A207" s="129" t="s">
        <v>12</v>
      </c>
      <c r="B207" s="38">
        <v>6884</v>
      </c>
      <c r="C207" s="39" t="s">
        <v>114</v>
      </c>
      <c r="D207" s="40">
        <v>12021000</v>
      </c>
      <c r="E207" s="40">
        <f>12021000-4642000</f>
        <v>7379000</v>
      </c>
      <c r="F207" s="41">
        <f>SUM(1070287.35+12000+390069.1+12000+1250743.12+2327434.22+1388807.75)</f>
        <v>6451341.540000001</v>
      </c>
      <c r="G207" s="95"/>
      <c r="H207" s="119"/>
      <c r="I207" s="119"/>
      <c r="J207" s="35"/>
      <c r="K207" s="35"/>
      <c r="L207" s="35"/>
    </row>
    <row r="208" spans="1:12" ht="13.5" thickBot="1" x14ac:dyDescent="0.25">
      <c r="A208" s="42"/>
      <c r="B208" s="53">
        <v>8761</v>
      </c>
      <c r="C208" s="54" t="s">
        <v>115</v>
      </c>
      <c r="D208" s="55">
        <v>0</v>
      </c>
      <c r="E208" s="55">
        <v>186000</v>
      </c>
      <c r="F208" s="56">
        <f>SUM(163335.84+22664.16)</f>
        <v>186000</v>
      </c>
      <c r="G208" s="95"/>
      <c r="H208" s="111"/>
      <c r="I208" s="111"/>
      <c r="J208" s="35"/>
      <c r="K208" s="35"/>
      <c r="L208" s="35"/>
    </row>
    <row r="209" spans="1:12" ht="14.25" thickTop="1" thickBot="1" x14ac:dyDescent="0.25">
      <c r="A209" s="42"/>
      <c r="B209" s="49"/>
      <c r="C209" s="50" t="s">
        <v>83</v>
      </c>
      <c r="D209" s="51">
        <f>SUM(D207:D208)</f>
        <v>12021000</v>
      </c>
      <c r="E209" s="51">
        <f t="shared" ref="E209:F209" si="0">SUM(E207:E208)</f>
        <v>7565000</v>
      </c>
      <c r="F209" s="52">
        <f t="shared" si="0"/>
        <v>6637341.540000001</v>
      </c>
      <c r="G209" s="95"/>
      <c r="H209" s="111"/>
      <c r="I209" s="111"/>
      <c r="J209" s="35"/>
      <c r="K209" s="35"/>
      <c r="L209" s="35"/>
    </row>
    <row r="210" spans="1:12" ht="13.5" thickBot="1" x14ac:dyDescent="0.25">
      <c r="A210" s="42"/>
      <c r="B210" s="74"/>
      <c r="C210" s="75" t="s">
        <v>155</v>
      </c>
      <c r="D210" s="76">
        <v>0</v>
      </c>
      <c r="E210" s="76">
        <v>46000</v>
      </c>
      <c r="F210" s="77">
        <v>45980</v>
      </c>
      <c r="G210" s="95"/>
      <c r="H210" s="111"/>
      <c r="I210" s="111"/>
      <c r="J210" s="35"/>
      <c r="K210" s="35"/>
      <c r="L210" s="35"/>
    </row>
    <row r="211" spans="1:12" ht="14.25" thickTop="1" thickBot="1" x14ac:dyDescent="0.25">
      <c r="A211" s="42"/>
      <c r="B211" s="49"/>
      <c r="C211" s="50" t="s">
        <v>86</v>
      </c>
      <c r="D211" s="51">
        <f>SUM(D210)</f>
        <v>0</v>
      </c>
      <c r="E211" s="51">
        <f t="shared" ref="E211:F211" si="1">SUM(E210)</f>
        <v>46000</v>
      </c>
      <c r="F211" s="51">
        <f t="shared" si="1"/>
        <v>45980</v>
      </c>
      <c r="G211" s="95"/>
      <c r="H211" s="111"/>
      <c r="I211" s="111"/>
      <c r="J211" s="35"/>
      <c r="K211" s="35"/>
      <c r="L211" s="35"/>
    </row>
    <row r="212" spans="1:12" ht="13.5" thickBot="1" x14ac:dyDescent="0.25">
      <c r="A212" s="42"/>
      <c r="B212" s="64">
        <v>6904</v>
      </c>
      <c r="C212" s="65" t="s">
        <v>116</v>
      </c>
      <c r="D212" s="66">
        <v>0</v>
      </c>
      <c r="E212" s="66">
        <v>1337000</v>
      </c>
      <c r="F212" s="67">
        <f>SUM(702173.89+634826.11)</f>
        <v>1337000</v>
      </c>
      <c r="G212" s="95"/>
      <c r="H212" s="111"/>
      <c r="I212" s="111"/>
      <c r="J212" s="35"/>
      <c r="K212" s="35"/>
      <c r="L212" s="35"/>
    </row>
    <row r="213" spans="1:12" ht="14.25" thickTop="1" thickBot="1" x14ac:dyDescent="0.25">
      <c r="A213" s="42"/>
      <c r="B213" s="78"/>
      <c r="C213" s="61" t="s">
        <v>117</v>
      </c>
      <c r="D213" s="62">
        <v>0</v>
      </c>
      <c r="E213" s="62">
        <f>SUM(E212)</f>
        <v>1337000</v>
      </c>
      <c r="F213" s="63">
        <f>SUM(F212)</f>
        <v>1337000</v>
      </c>
      <c r="G213" s="95"/>
      <c r="H213" s="111"/>
      <c r="I213" s="111"/>
      <c r="J213" s="35"/>
      <c r="K213" s="35"/>
      <c r="L213" s="35"/>
    </row>
    <row r="214" spans="1:12" ht="13.5" thickBot="1" x14ac:dyDescent="0.25">
      <c r="A214" s="42"/>
      <c r="B214" s="144"/>
      <c r="C214" s="140" t="s">
        <v>87</v>
      </c>
      <c r="D214" s="141">
        <f>SUM(D209)</f>
        <v>12021000</v>
      </c>
      <c r="E214" s="141">
        <f>SUM(E209+E211+E213)</f>
        <v>8948000</v>
      </c>
      <c r="F214" s="142">
        <f>SUM(F209+F211+F213)</f>
        <v>8020321.540000001</v>
      </c>
      <c r="G214" s="95"/>
      <c r="H214" s="111"/>
      <c r="I214" s="111"/>
      <c r="J214" s="35"/>
      <c r="K214" s="35"/>
      <c r="L214" s="35"/>
    </row>
    <row r="215" spans="1:12" ht="13.5" thickBot="1" x14ac:dyDescent="0.25">
      <c r="A215" s="129" t="s">
        <v>16</v>
      </c>
      <c r="B215" s="64">
        <v>3943</v>
      </c>
      <c r="C215" s="65" t="s">
        <v>118</v>
      </c>
      <c r="D215" s="66">
        <v>0</v>
      </c>
      <c r="E215" s="66">
        <v>2300000</v>
      </c>
      <c r="F215" s="66">
        <f>11050+1358960.5+241660.32</f>
        <v>1611670.82</v>
      </c>
      <c r="G215" s="95"/>
      <c r="H215" s="111"/>
      <c r="I215" s="111"/>
      <c r="J215" s="35"/>
      <c r="K215" s="35"/>
      <c r="L215" s="35"/>
    </row>
    <row r="216" spans="1:12" ht="14.25" thickTop="1" thickBot="1" x14ac:dyDescent="0.25">
      <c r="A216" s="42"/>
      <c r="B216" s="130"/>
      <c r="C216" s="61" t="s">
        <v>83</v>
      </c>
      <c r="D216" s="62">
        <v>0</v>
      </c>
      <c r="E216" s="62">
        <f>SUM(E215)</f>
        <v>2300000</v>
      </c>
      <c r="F216" s="62">
        <f>SUM(F215)</f>
        <v>1611670.82</v>
      </c>
      <c r="G216" s="95"/>
      <c r="H216" s="111"/>
      <c r="I216" s="111"/>
      <c r="J216" s="35"/>
      <c r="K216" s="35"/>
      <c r="L216" s="35"/>
    </row>
    <row r="217" spans="1:12" ht="13.5" thickBot="1" x14ac:dyDescent="0.25">
      <c r="A217" s="130"/>
      <c r="B217" s="139"/>
      <c r="C217" s="140" t="s">
        <v>87</v>
      </c>
      <c r="D217" s="141">
        <v>0</v>
      </c>
      <c r="E217" s="141">
        <f>SUM(E216)</f>
        <v>2300000</v>
      </c>
      <c r="F217" s="141">
        <f>SUM(F216)</f>
        <v>1611670.82</v>
      </c>
      <c r="G217" s="95"/>
      <c r="H217" s="111"/>
      <c r="I217" s="111"/>
      <c r="J217" s="35"/>
      <c r="K217" s="35"/>
      <c r="L217" s="35"/>
    </row>
    <row r="218" spans="1:12" ht="23.25" customHeight="1" thickBot="1" x14ac:dyDescent="0.25">
      <c r="A218" s="170" t="s">
        <v>119</v>
      </c>
      <c r="B218" s="171"/>
      <c r="C218" s="172"/>
      <c r="D218" s="162">
        <f>SUM(D138+D145+D151+D154+D157+D164+D167+D174+D183+D187+D190+D193+D200+D206+D214+D217)</f>
        <v>12021000</v>
      </c>
      <c r="E218" s="162">
        <f>SUM(E138+E145+E151+E154+E157+E164+E167+E174+E183+E187+E190+E193+E200+E206+E214+E217)</f>
        <v>100115000</v>
      </c>
      <c r="F218" s="162">
        <f>SUM(F138+F145+F151+F154+F157+F164+F167+F174+F183+F187+F190+F193+F200+F206+F214+F217)</f>
        <v>86891454.919699997</v>
      </c>
      <c r="G218" s="95"/>
      <c r="H218" s="111"/>
      <c r="I218" s="111"/>
      <c r="J218" s="35"/>
      <c r="K218" s="35"/>
      <c r="L218" s="35"/>
    </row>
    <row r="219" spans="1:12" x14ac:dyDescent="0.2">
      <c r="A219" s="32"/>
      <c r="B219" s="32"/>
      <c r="C219" s="33"/>
      <c r="D219" s="35"/>
      <c r="E219" s="35"/>
      <c r="F219" s="36"/>
      <c r="G219" s="95"/>
      <c r="H219" s="111"/>
      <c r="I219" s="111"/>
      <c r="J219" s="35"/>
      <c r="K219" s="35"/>
      <c r="L219" s="35"/>
    </row>
    <row r="220" spans="1:12" x14ac:dyDescent="0.2">
      <c r="A220" s="32"/>
      <c r="B220" s="32"/>
      <c r="C220" s="37"/>
      <c r="D220" s="34"/>
      <c r="E220" s="34"/>
      <c r="F220" s="79"/>
      <c r="G220" s="95"/>
      <c r="H220" s="111"/>
      <c r="I220" s="111"/>
      <c r="J220" s="35"/>
      <c r="K220" s="35"/>
      <c r="L220" s="35"/>
    </row>
    <row r="221" spans="1:12" x14ac:dyDescent="0.2">
      <c r="A221" s="32"/>
      <c r="B221" s="32"/>
      <c r="C221" s="37"/>
      <c r="D221" s="34"/>
      <c r="E221" s="34"/>
      <c r="F221" s="79"/>
      <c r="G221" s="95"/>
      <c r="H221" s="111"/>
      <c r="I221" s="111"/>
      <c r="J221" s="35"/>
      <c r="K221" s="35"/>
      <c r="L221" s="35"/>
    </row>
    <row r="222" spans="1:12" x14ac:dyDescent="0.2">
      <c r="A222" s="32"/>
      <c r="B222" s="32"/>
      <c r="C222" s="37"/>
      <c r="D222" s="34"/>
      <c r="E222" s="34"/>
      <c r="F222" s="79"/>
      <c r="G222" s="95"/>
      <c r="H222" s="111"/>
      <c r="I222" s="111"/>
      <c r="J222" s="35"/>
      <c r="K222" s="35"/>
      <c r="L222" s="35"/>
    </row>
    <row r="223" spans="1:12" x14ac:dyDescent="0.2">
      <c r="A223" s="32"/>
      <c r="B223" s="32"/>
      <c r="C223" s="37"/>
      <c r="D223" s="34"/>
      <c r="E223" s="34"/>
      <c r="F223" s="79"/>
      <c r="G223" s="95"/>
      <c r="H223" s="111"/>
      <c r="I223" s="111"/>
      <c r="J223" s="35"/>
      <c r="K223" s="35"/>
      <c r="L223" s="35"/>
    </row>
    <row r="224" spans="1:12" x14ac:dyDescent="0.2">
      <c r="A224" s="32"/>
      <c r="B224" s="32"/>
      <c r="C224" s="33"/>
      <c r="D224" s="35"/>
      <c r="E224" s="35"/>
      <c r="F224" s="36"/>
      <c r="G224" s="95"/>
      <c r="H224" s="111"/>
      <c r="I224" s="111"/>
      <c r="J224" s="35"/>
      <c r="K224" s="35"/>
      <c r="L224" s="35"/>
    </row>
    <row r="225" spans="1:12" x14ac:dyDescent="0.2">
      <c r="A225" s="32"/>
      <c r="B225" s="32"/>
      <c r="C225" s="33"/>
      <c r="D225" s="35"/>
      <c r="E225" s="35"/>
      <c r="F225" s="36"/>
      <c r="G225" s="95"/>
      <c r="H225" s="111"/>
      <c r="I225" s="111"/>
      <c r="J225" s="35"/>
      <c r="K225" s="35"/>
      <c r="L225" s="35"/>
    </row>
    <row r="226" spans="1:12" x14ac:dyDescent="0.2">
      <c r="A226" s="32"/>
      <c r="B226" s="32"/>
      <c r="C226" s="37"/>
      <c r="D226" s="34"/>
      <c r="E226" s="34"/>
      <c r="F226" s="79"/>
      <c r="G226" s="95"/>
      <c r="H226" s="111"/>
      <c r="I226" s="111"/>
      <c r="J226" s="35"/>
      <c r="K226" s="35"/>
      <c r="L226" s="35"/>
    </row>
    <row r="227" spans="1:12" x14ac:dyDescent="0.2">
      <c r="A227" s="32"/>
      <c r="B227" s="32"/>
      <c r="C227" s="33"/>
      <c r="D227" s="35"/>
      <c r="E227" s="35"/>
      <c r="F227" s="36"/>
      <c r="G227" s="95"/>
      <c r="H227" s="111"/>
      <c r="I227" s="111"/>
      <c r="J227" s="35"/>
      <c r="K227" s="35"/>
      <c r="L227" s="35"/>
    </row>
    <row r="228" spans="1:12" x14ac:dyDescent="0.2">
      <c r="A228" s="32"/>
      <c r="B228" s="32"/>
      <c r="C228" s="37"/>
      <c r="D228" s="34"/>
      <c r="E228" s="34"/>
      <c r="F228" s="79"/>
      <c r="G228" s="93"/>
    </row>
    <row r="229" spans="1:12" x14ac:dyDescent="0.2">
      <c r="A229" s="32"/>
      <c r="B229" s="32"/>
      <c r="C229" s="37"/>
      <c r="D229" s="34"/>
      <c r="E229" s="34"/>
      <c r="F229" s="79"/>
      <c r="G229" s="93"/>
    </row>
    <row r="230" spans="1:12" x14ac:dyDescent="0.2">
      <c r="A230" s="32"/>
      <c r="B230" s="32"/>
      <c r="C230" s="33"/>
      <c r="D230" s="35"/>
      <c r="E230" s="35"/>
      <c r="F230" s="36"/>
      <c r="G230" s="95"/>
      <c r="H230" s="111"/>
      <c r="I230" s="111"/>
      <c r="J230" s="35"/>
      <c r="K230" s="35"/>
      <c r="L230" s="35"/>
    </row>
    <row r="231" spans="1:12" x14ac:dyDescent="0.2">
      <c r="A231" s="32"/>
      <c r="B231" s="32"/>
      <c r="C231" s="37"/>
      <c r="D231" s="34"/>
      <c r="E231" s="34"/>
      <c r="F231" s="79"/>
      <c r="G231" s="95"/>
      <c r="H231" s="111"/>
      <c r="I231" s="111"/>
      <c r="J231" s="35"/>
      <c r="K231" s="35"/>
      <c r="L231" s="35"/>
    </row>
    <row r="232" spans="1:12" x14ac:dyDescent="0.2">
      <c r="A232" s="32"/>
      <c r="B232" s="32"/>
      <c r="C232" s="33"/>
      <c r="D232" s="35"/>
      <c r="E232" s="35"/>
      <c r="F232" s="36"/>
      <c r="G232" s="95"/>
      <c r="H232" s="111"/>
      <c r="I232" s="111"/>
      <c r="J232" s="35"/>
      <c r="K232" s="35"/>
      <c r="L232" s="35"/>
    </row>
    <row r="233" spans="1:12" x14ac:dyDescent="0.2">
      <c r="A233" s="32"/>
      <c r="B233" s="32"/>
      <c r="C233" s="33"/>
      <c r="D233" s="35"/>
      <c r="E233" s="35"/>
      <c r="F233" s="36"/>
    </row>
    <row r="234" spans="1:12" x14ac:dyDescent="0.2">
      <c r="A234" s="32"/>
      <c r="B234" s="32"/>
      <c r="C234" s="37"/>
      <c r="D234" s="34"/>
      <c r="E234" s="34"/>
      <c r="F234" s="79"/>
    </row>
    <row r="235" spans="1:12" x14ac:dyDescent="0.2">
      <c r="A235" s="32"/>
      <c r="B235" s="32"/>
      <c r="C235" s="33"/>
      <c r="D235" s="35"/>
      <c r="E235" s="35"/>
      <c r="F235" s="36"/>
    </row>
    <row r="236" spans="1:12" x14ac:dyDescent="0.2">
      <c r="A236" s="32"/>
      <c r="B236" s="32"/>
      <c r="C236" s="37"/>
      <c r="D236" s="34"/>
      <c r="E236" s="34"/>
      <c r="F236" s="79"/>
    </row>
    <row r="237" spans="1:12" x14ac:dyDescent="0.2">
      <c r="A237" s="32"/>
      <c r="B237" s="32"/>
      <c r="C237" s="37"/>
      <c r="D237" s="34"/>
      <c r="E237" s="34"/>
      <c r="F237" s="79"/>
    </row>
    <row r="238" spans="1:12" x14ac:dyDescent="0.2">
      <c r="A238" s="32"/>
      <c r="B238" s="32"/>
      <c r="C238" s="33"/>
      <c r="D238" s="35"/>
      <c r="E238" s="35"/>
      <c r="F238" s="36"/>
      <c r="G238" s="95"/>
      <c r="H238" s="111"/>
      <c r="I238" s="111"/>
      <c r="J238" s="35"/>
      <c r="K238" s="35"/>
      <c r="L238" s="35"/>
    </row>
    <row r="239" spans="1:12" x14ac:dyDescent="0.2">
      <c r="A239" s="32"/>
      <c r="B239" s="32"/>
      <c r="C239" s="33"/>
      <c r="D239" s="35"/>
      <c r="E239" s="35"/>
      <c r="F239" s="36"/>
      <c r="G239" s="95"/>
      <c r="H239" s="111"/>
      <c r="I239" s="111"/>
      <c r="J239" s="35"/>
      <c r="K239" s="35"/>
      <c r="L239" s="35"/>
    </row>
    <row r="240" spans="1:12" x14ac:dyDescent="0.2">
      <c r="A240" s="32"/>
      <c r="B240" s="32"/>
      <c r="C240" s="37"/>
      <c r="D240" s="34"/>
      <c r="E240" s="34"/>
      <c r="F240" s="79"/>
      <c r="G240" s="95"/>
      <c r="H240" s="111"/>
      <c r="I240" s="111"/>
      <c r="J240" s="35"/>
      <c r="K240" s="35"/>
      <c r="L240" s="35"/>
    </row>
    <row r="241" spans="1:12" x14ac:dyDescent="0.2">
      <c r="A241" s="32"/>
      <c r="B241" s="32"/>
      <c r="C241" s="33"/>
      <c r="D241" s="35"/>
      <c r="E241" s="35"/>
      <c r="F241" s="36"/>
      <c r="G241" s="95"/>
      <c r="H241" s="111"/>
      <c r="I241" s="111"/>
      <c r="J241" s="35"/>
      <c r="K241" s="35"/>
      <c r="L241" s="35"/>
    </row>
    <row r="242" spans="1:12" x14ac:dyDescent="0.2">
      <c r="A242" s="32"/>
      <c r="B242" s="32"/>
      <c r="C242" s="37"/>
      <c r="D242" s="34"/>
      <c r="E242" s="34"/>
      <c r="F242" s="79"/>
      <c r="G242" s="95"/>
      <c r="H242" s="111"/>
      <c r="I242" s="111"/>
      <c r="J242" s="35"/>
      <c r="K242" s="35"/>
      <c r="L242" s="35"/>
    </row>
    <row r="243" spans="1:12" x14ac:dyDescent="0.2">
      <c r="A243" s="32"/>
      <c r="B243" s="32"/>
      <c r="C243" s="37"/>
      <c r="D243" s="34"/>
      <c r="E243" s="34"/>
      <c r="F243" s="79"/>
      <c r="G243" s="95"/>
      <c r="H243" s="111"/>
      <c r="I243" s="111"/>
      <c r="J243" s="35"/>
      <c r="K243" s="35"/>
      <c r="L243" s="35"/>
    </row>
    <row r="244" spans="1:12" x14ac:dyDescent="0.2">
      <c r="A244" s="32"/>
      <c r="B244" s="32"/>
      <c r="C244" s="37"/>
      <c r="D244" s="34"/>
      <c r="E244" s="34"/>
      <c r="F244" s="79"/>
      <c r="G244" s="95"/>
      <c r="H244" s="111"/>
      <c r="I244" s="111"/>
      <c r="J244" s="35"/>
      <c r="K244" s="35"/>
      <c r="L244" s="35"/>
    </row>
    <row r="245" spans="1:12" x14ac:dyDescent="0.2">
      <c r="A245" s="32"/>
      <c r="B245" s="32"/>
      <c r="C245" s="37"/>
      <c r="D245" s="34"/>
      <c r="E245" s="34"/>
      <c r="F245" s="79"/>
      <c r="G245" s="95"/>
      <c r="H245" s="111"/>
      <c r="I245" s="111"/>
      <c r="J245" s="35"/>
      <c r="K245" s="35"/>
      <c r="L245" s="35"/>
    </row>
    <row r="246" spans="1:12" x14ac:dyDescent="0.2">
      <c r="A246" s="32"/>
      <c r="B246" s="32"/>
      <c r="C246" s="33"/>
      <c r="D246" s="35"/>
      <c r="E246" s="35"/>
      <c r="F246" s="36"/>
      <c r="G246" s="95"/>
      <c r="H246" s="111"/>
      <c r="I246" s="111"/>
      <c r="J246" s="35"/>
      <c r="K246" s="35"/>
      <c r="L246" s="35"/>
    </row>
    <row r="247" spans="1:12" x14ac:dyDescent="0.2">
      <c r="A247" s="32"/>
      <c r="B247" s="32"/>
      <c r="C247" s="33"/>
      <c r="D247" s="35"/>
      <c r="E247" s="35"/>
      <c r="F247" s="36"/>
      <c r="G247" s="95"/>
      <c r="H247" s="111"/>
      <c r="I247" s="111"/>
      <c r="J247" s="35"/>
      <c r="K247" s="35"/>
      <c r="L247" s="35"/>
    </row>
    <row r="248" spans="1:12" x14ac:dyDescent="0.2">
      <c r="A248" s="32"/>
      <c r="B248" s="32"/>
      <c r="C248" s="37"/>
      <c r="D248" s="34"/>
      <c r="E248" s="34"/>
      <c r="F248" s="79"/>
      <c r="G248" s="95"/>
      <c r="H248" s="111"/>
      <c r="I248" s="111"/>
      <c r="J248" s="35"/>
      <c r="K248" s="35"/>
      <c r="L248" s="35"/>
    </row>
    <row r="249" spans="1:12" x14ac:dyDescent="0.2">
      <c r="A249" s="32"/>
      <c r="B249" s="32"/>
      <c r="C249" s="33"/>
      <c r="D249" s="35"/>
      <c r="E249" s="35"/>
      <c r="F249" s="36"/>
      <c r="G249" s="95"/>
      <c r="H249" s="111"/>
      <c r="I249" s="111"/>
      <c r="J249" s="35"/>
      <c r="K249" s="35"/>
      <c r="L249" s="35"/>
    </row>
    <row r="250" spans="1:12" x14ac:dyDescent="0.2">
      <c r="A250" s="32"/>
      <c r="B250" s="32"/>
      <c r="C250" s="37"/>
      <c r="D250" s="34"/>
      <c r="E250" s="34"/>
      <c r="F250" s="79"/>
      <c r="G250" s="95"/>
      <c r="H250" s="111"/>
      <c r="I250" s="111"/>
      <c r="J250" s="35"/>
      <c r="K250" s="35"/>
      <c r="L250" s="35"/>
    </row>
    <row r="251" spans="1:12" x14ac:dyDescent="0.2">
      <c r="A251" s="32"/>
      <c r="B251" s="32"/>
      <c r="C251" s="33"/>
      <c r="D251" s="35"/>
      <c r="E251" s="35"/>
      <c r="F251" s="36"/>
      <c r="G251" s="95"/>
      <c r="H251" s="111"/>
      <c r="I251" s="111"/>
      <c r="J251" s="35"/>
      <c r="K251" s="35"/>
      <c r="L251" s="35"/>
    </row>
    <row r="252" spans="1:12" x14ac:dyDescent="0.2">
      <c r="A252" s="32"/>
      <c r="B252" s="32"/>
      <c r="C252" s="33"/>
      <c r="D252" s="35"/>
      <c r="E252" s="35"/>
      <c r="F252" s="36"/>
      <c r="G252" s="95"/>
      <c r="H252" s="111"/>
      <c r="I252" s="111"/>
      <c r="J252" s="35"/>
      <c r="K252" s="35"/>
      <c r="L252" s="35"/>
    </row>
    <row r="253" spans="1:12" x14ac:dyDescent="0.2">
      <c r="A253" s="32"/>
      <c r="B253" s="32"/>
      <c r="C253" s="37"/>
      <c r="D253" s="34"/>
      <c r="E253" s="34"/>
      <c r="F253" s="79"/>
      <c r="G253" s="95"/>
      <c r="H253" s="111"/>
      <c r="I253" s="111"/>
      <c r="J253" s="35"/>
      <c r="K253" s="35"/>
      <c r="L253" s="35"/>
    </row>
    <row r="254" spans="1:12" x14ac:dyDescent="0.2">
      <c r="A254" s="32"/>
      <c r="B254" s="32"/>
      <c r="C254" s="37"/>
      <c r="D254" s="34"/>
      <c r="E254" s="34"/>
      <c r="F254" s="79"/>
      <c r="G254" s="95"/>
      <c r="H254" s="111"/>
      <c r="I254" s="111"/>
      <c r="J254" s="35"/>
      <c r="K254" s="35"/>
      <c r="L254" s="35"/>
    </row>
    <row r="255" spans="1:12" x14ac:dyDescent="0.2">
      <c r="A255" s="32"/>
      <c r="B255" s="32"/>
      <c r="C255" s="33"/>
      <c r="D255" s="35"/>
      <c r="E255" s="35"/>
      <c r="F255" s="36"/>
      <c r="G255" s="95"/>
      <c r="H255" s="111"/>
      <c r="I255" s="111"/>
      <c r="J255" s="35"/>
      <c r="K255" s="35"/>
      <c r="L255" s="35"/>
    </row>
    <row r="256" spans="1:12" x14ac:dyDescent="0.2">
      <c r="A256" s="32"/>
      <c r="B256" s="32"/>
      <c r="C256" s="37"/>
      <c r="D256" s="34"/>
      <c r="E256" s="34"/>
      <c r="F256" s="79"/>
      <c r="G256" s="95"/>
      <c r="H256" s="111"/>
      <c r="I256" s="111"/>
      <c r="J256" s="35"/>
      <c r="K256" s="35"/>
      <c r="L256" s="35"/>
    </row>
    <row r="257" spans="1:12" x14ac:dyDescent="0.2">
      <c r="A257" s="32"/>
      <c r="B257" s="32"/>
      <c r="C257" s="37"/>
      <c r="D257" s="34"/>
      <c r="E257" s="34"/>
      <c r="F257" s="79"/>
      <c r="G257" s="95"/>
      <c r="H257" s="111"/>
      <c r="I257" s="111"/>
      <c r="J257" s="35"/>
      <c r="K257" s="35"/>
      <c r="L257" s="35"/>
    </row>
    <row r="258" spans="1:12" x14ac:dyDescent="0.2">
      <c r="A258" s="32"/>
      <c r="B258" s="32"/>
      <c r="C258" s="37"/>
      <c r="D258" s="34"/>
      <c r="E258" s="34"/>
      <c r="F258" s="79"/>
      <c r="G258" s="95"/>
      <c r="H258" s="111"/>
      <c r="I258" s="111"/>
      <c r="J258" s="35"/>
      <c r="K258" s="35"/>
      <c r="L258" s="35"/>
    </row>
    <row r="259" spans="1:12" x14ac:dyDescent="0.2">
      <c r="A259" s="32"/>
      <c r="B259" s="32"/>
      <c r="C259" s="33"/>
      <c r="D259" s="35"/>
      <c r="E259" s="35"/>
      <c r="F259" s="36"/>
      <c r="G259" s="95"/>
      <c r="H259" s="111"/>
      <c r="I259" s="111"/>
      <c r="J259" s="35"/>
      <c r="K259" s="35"/>
      <c r="L259" s="35"/>
    </row>
    <row r="260" spans="1:12" x14ac:dyDescent="0.2">
      <c r="A260" s="32"/>
      <c r="B260" s="32"/>
      <c r="C260" s="33"/>
      <c r="D260" s="35"/>
      <c r="E260" s="35"/>
      <c r="F260" s="36"/>
      <c r="G260" s="95"/>
      <c r="H260" s="111"/>
      <c r="I260" s="111"/>
      <c r="J260" s="35"/>
      <c r="K260" s="35"/>
      <c r="L260" s="35"/>
    </row>
    <row r="261" spans="1:12" x14ac:dyDescent="0.2">
      <c r="A261" s="32"/>
      <c r="B261" s="32"/>
      <c r="C261" s="37"/>
      <c r="D261" s="34"/>
      <c r="E261" s="34"/>
      <c r="F261" s="79"/>
    </row>
    <row r="262" spans="1:12" x14ac:dyDescent="0.2">
      <c r="A262" s="32"/>
      <c r="B262" s="32"/>
      <c r="C262" s="37"/>
      <c r="D262" s="34"/>
      <c r="E262" s="34"/>
      <c r="F262" s="79"/>
    </row>
    <row r="263" spans="1:12" x14ac:dyDescent="0.2">
      <c r="A263" s="32"/>
      <c r="B263" s="32"/>
      <c r="C263" s="37"/>
      <c r="D263" s="34"/>
      <c r="E263" s="34"/>
      <c r="F263" s="79"/>
    </row>
    <row r="264" spans="1:12" x14ac:dyDescent="0.2">
      <c r="A264" s="32"/>
      <c r="B264" s="32"/>
      <c r="C264" s="33"/>
      <c r="D264" s="35"/>
      <c r="E264" s="35"/>
      <c r="F264" s="36"/>
      <c r="G264" s="95"/>
      <c r="H264" s="111"/>
      <c r="I264" s="111"/>
      <c r="J264" s="35"/>
      <c r="K264" s="35"/>
      <c r="L264" s="35"/>
    </row>
    <row r="265" spans="1:12" x14ac:dyDescent="0.2">
      <c r="A265" s="32"/>
      <c r="B265" s="32"/>
      <c r="C265" s="33"/>
      <c r="D265" s="35"/>
      <c r="E265" s="35"/>
      <c r="F265" s="36"/>
      <c r="G265" s="95"/>
      <c r="H265" s="111"/>
      <c r="I265" s="111"/>
      <c r="J265" s="35"/>
      <c r="K265" s="35"/>
      <c r="L265" s="35"/>
    </row>
    <row r="266" spans="1:12" x14ac:dyDescent="0.2">
      <c r="A266" s="32"/>
      <c r="B266" s="32"/>
      <c r="C266" s="37"/>
      <c r="D266" s="34"/>
      <c r="E266" s="34"/>
      <c r="F266" s="79"/>
      <c r="G266" s="95"/>
      <c r="H266" s="111"/>
      <c r="I266" s="111"/>
      <c r="J266" s="35"/>
      <c r="K266" s="35"/>
      <c r="L266" s="35"/>
    </row>
    <row r="267" spans="1:12" x14ac:dyDescent="0.2">
      <c r="A267" s="32"/>
      <c r="B267" s="32"/>
      <c r="C267" s="37"/>
      <c r="D267" s="34"/>
      <c r="E267" s="34"/>
      <c r="F267" s="79"/>
      <c r="G267" s="95"/>
      <c r="H267" s="111"/>
      <c r="I267" s="111"/>
      <c r="J267" s="35"/>
      <c r="K267" s="35"/>
      <c r="L267" s="35"/>
    </row>
    <row r="268" spans="1:12" x14ac:dyDescent="0.2">
      <c r="A268" s="32"/>
      <c r="B268" s="32"/>
      <c r="C268" s="33"/>
      <c r="D268" s="35"/>
      <c r="E268" s="35"/>
      <c r="F268" s="36"/>
      <c r="G268" s="95"/>
      <c r="H268" s="111"/>
      <c r="I268" s="111"/>
      <c r="J268" s="35"/>
      <c r="K268" s="35"/>
      <c r="L268" s="35"/>
    </row>
    <row r="269" spans="1:12" x14ac:dyDescent="0.2">
      <c r="A269" s="32"/>
      <c r="B269" s="32"/>
      <c r="C269" s="37"/>
      <c r="D269" s="34"/>
      <c r="E269" s="34"/>
      <c r="F269" s="79"/>
      <c r="G269" s="95"/>
      <c r="H269" s="111"/>
      <c r="I269" s="111"/>
      <c r="J269" s="35"/>
      <c r="K269" s="35"/>
      <c r="L269" s="35"/>
    </row>
    <row r="270" spans="1:12" x14ac:dyDescent="0.2">
      <c r="A270" s="32"/>
      <c r="B270" s="32"/>
      <c r="C270" s="33"/>
      <c r="D270" s="35"/>
      <c r="E270" s="35"/>
      <c r="F270" s="36"/>
      <c r="G270" s="95"/>
      <c r="H270" s="111"/>
      <c r="I270" s="111"/>
      <c r="J270" s="35"/>
      <c r="K270" s="35"/>
      <c r="L270" s="35"/>
    </row>
    <row r="271" spans="1:12" x14ac:dyDescent="0.2">
      <c r="A271" s="69"/>
      <c r="B271" s="69"/>
      <c r="C271" s="37"/>
      <c r="D271" s="34"/>
      <c r="E271" s="34"/>
      <c r="F271" s="79"/>
      <c r="G271" s="95"/>
      <c r="H271" s="111"/>
      <c r="I271" s="111"/>
      <c r="J271" s="35"/>
      <c r="K271" s="35"/>
      <c r="L271" s="35"/>
    </row>
    <row r="272" spans="1:12" x14ac:dyDescent="0.2">
      <c r="A272" s="69"/>
      <c r="B272" s="69"/>
      <c r="C272" s="37"/>
      <c r="D272" s="34"/>
      <c r="E272" s="34"/>
      <c r="F272" s="79"/>
      <c r="G272" s="95"/>
      <c r="H272" s="111"/>
      <c r="I272" s="111"/>
      <c r="J272" s="35"/>
      <c r="K272" s="35"/>
      <c r="L272" s="35"/>
    </row>
    <row r="273" spans="1:12" x14ac:dyDescent="0.2">
      <c r="A273" s="69"/>
      <c r="B273" s="69"/>
      <c r="C273" s="37"/>
      <c r="D273" s="34"/>
      <c r="E273" s="34"/>
      <c r="F273" s="79"/>
      <c r="G273" s="95"/>
      <c r="H273" s="111"/>
      <c r="I273" s="111"/>
      <c r="J273" s="35"/>
      <c r="K273" s="35"/>
      <c r="L273" s="35"/>
    </row>
    <row r="274" spans="1:12" x14ac:dyDescent="0.2">
      <c r="A274" s="69"/>
      <c r="B274" s="69"/>
      <c r="C274" s="37"/>
      <c r="D274" s="34"/>
      <c r="E274" s="34"/>
      <c r="F274" s="79"/>
      <c r="G274" s="95"/>
      <c r="H274" s="111"/>
      <c r="I274" s="111"/>
      <c r="J274" s="35"/>
      <c r="K274" s="35"/>
      <c r="L274" s="35"/>
    </row>
    <row r="275" spans="1:12" x14ac:dyDescent="0.2">
      <c r="A275" s="69"/>
      <c r="B275" s="69"/>
      <c r="C275" s="37"/>
      <c r="D275" s="34"/>
      <c r="E275" s="34"/>
      <c r="F275" s="79"/>
      <c r="G275" s="95"/>
      <c r="H275" s="111"/>
      <c r="I275" s="111"/>
      <c r="J275" s="35"/>
      <c r="K275" s="35"/>
      <c r="L275" s="35"/>
    </row>
    <row r="276" spans="1:12" x14ac:dyDescent="0.2">
      <c r="A276" s="69"/>
      <c r="B276" s="69"/>
      <c r="C276" s="33"/>
      <c r="D276" s="35"/>
      <c r="E276" s="35"/>
      <c r="F276" s="36"/>
      <c r="G276" s="95"/>
      <c r="H276" s="111"/>
      <c r="I276" s="111"/>
      <c r="J276" s="35"/>
      <c r="K276" s="35"/>
      <c r="L276" s="35"/>
    </row>
    <row r="277" spans="1:12" x14ac:dyDescent="0.2">
      <c r="A277" s="69"/>
      <c r="B277" s="69"/>
      <c r="C277" s="37"/>
      <c r="D277" s="34"/>
      <c r="E277" s="34"/>
      <c r="F277" s="79"/>
      <c r="G277" s="95"/>
      <c r="H277" s="111"/>
      <c r="I277" s="111"/>
      <c r="J277" s="35"/>
      <c r="K277" s="35"/>
      <c r="L277" s="35"/>
    </row>
    <row r="278" spans="1:12" x14ac:dyDescent="0.2">
      <c r="A278" s="69"/>
      <c r="B278" s="69"/>
      <c r="C278" s="33"/>
      <c r="D278" s="35"/>
      <c r="E278" s="35"/>
      <c r="F278" s="36"/>
      <c r="G278" s="95"/>
      <c r="H278" s="111"/>
      <c r="I278" s="111"/>
      <c r="J278" s="35"/>
      <c r="K278" s="35"/>
      <c r="L278" s="35"/>
    </row>
    <row r="279" spans="1:12" x14ac:dyDescent="0.2">
      <c r="A279" s="69"/>
      <c r="B279" s="69"/>
      <c r="C279" s="33"/>
      <c r="D279" s="35"/>
      <c r="E279" s="35"/>
      <c r="F279" s="36"/>
      <c r="H279" s="114"/>
      <c r="I279" s="114"/>
      <c r="J279" s="115"/>
      <c r="K279" s="115"/>
      <c r="L279" s="115"/>
    </row>
    <row r="280" spans="1:12" x14ac:dyDescent="0.2">
      <c r="A280" s="69"/>
      <c r="B280" s="69"/>
      <c r="C280" s="37"/>
      <c r="D280" s="34"/>
      <c r="E280" s="34"/>
      <c r="F280" s="79"/>
    </row>
    <row r="281" spans="1:12" x14ac:dyDescent="0.2">
      <c r="A281" s="69"/>
      <c r="B281" s="69"/>
      <c r="C281" s="33"/>
      <c r="D281" s="35"/>
      <c r="E281" s="35"/>
      <c r="F281" s="36"/>
    </row>
    <row r="282" spans="1:12" x14ac:dyDescent="0.2">
      <c r="A282" s="69"/>
      <c r="B282" s="69"/>
      <c r="C282" s="37"/>
      <c r="D282" s="34"/>
      <c r="E282" s="34"/>
      <c r="F282" s="79"/>
    </row>
    <row r="283" spans="1:12" x14ac:dyDescent="0.2">
      <c r="A283" s="69"/>
      <c r="B283" s="69"/>
      <c r="C283" s="33"/>
      <c r="D283" s="35"/>
      <c r="E283" s="35"/>
      <c r="F283" s="36"/>
    </row>
    <row r="284" spans="1:12" x14ac:dyDescent="0.2">
      <c r="A284" s="69"/>
      <c r="B284" s="69"/>
      <c r="C284" s="37"/>
      <c r="D284" s="34"/>
      <c r="E284" s="34"/>
      <c r="F284" s="79"/>
    </row>
    <row r="285" spans="1:12" x14ac:dyDescent="0.2">
      <c r="A285" s="69"/>
      <c r="B285" s="69"/>
      <c r="C285" s="33"/>
      <c r="D285" s="35"/>
      <c r="E285" s="35"/>
      <c r="F285" s="36"/>
    </row>
    <row r="286" spans="1:12" x14ac:dyDescent="0.2">
      <c r="A286" s="69"/>
      <c r="B286" s="69"/>
      <c r="C286" s="37"/>
      <c r="D286" s="34"/>
      <c r="E286" s="34"/>
      <c r="F286" s="79"/>
    </row>
    <row r="287" spans="1:12" x14ac:dyDescent="0.2">
      <c r="A287" s="69"/>
      <c r="B287" s="69"/>
      <c r="C287" s="37"/>
      <c r="D287" s="34"/>
      <c r="E287" s="34"/>
      <c r="F287" s="79"/>
      <c r="G287" s="110"/>
    </row>
    <row r="288" spans="1:12" x14ac:dyDescent="0.2">
      <c r="A288" s="69"/>
      <c r="B288" s="69"/>
      <c r="C288" s="37"/>
      <c r="D288" s="34"/>
      <c r="E288" s="34"/>
      <c r="F288" s="79"/>
      <c r="G288" s="110"/>
    </row>
    <row r="289" spans="1:12" x14ac:dyDescent="0.2">
      <c r="A289" s="69"/>
      <c r="B289" s="69"/>
      <c r="C289" s="37"/>
      <c r="D289" s="34"/>
      <c r="E289" s="34"/>
      <c r="F289" s="79"/>
      <c r="G289" s="110"/>
    </row>
    <row r="290" spans="1:12" x14ac:dyDescent="0.2">
      <c r="A290" s="69"/>
      <c r="B290" s="69"/>
      <c r="C290" s="37"/>
      <c r="D290" s="34"/>
      <c r="E290" s="34"/>
      <c r="F290" s="79"/>
      <c r="G290" s="110"/>
    </row>
    <row r="291" spans="1:12" x14ac:dyDescent="0.2">
      <c r="A291" s="69"/>
      <c r="B291" s="69"/>
      <c r="C291" s="33"/>
      <c r="D291" s="35"/>
      <c r="E291" s="35"/>
      <c r="F291" s="36"/>
    </row>
    <row r="292" spans="1:12" x14ac:dyDescent="0.2">
      <c r="A292" s="69"/>
      <c r="B292" s="69"/>
      <c r="C292" s="37"/>
      <c r="D292" s="34"/>
      <c r="E292" s="34"/>
      <c r="F292" s="79"/>
      <c r="G292" s="99"/>
      <c r="H292" s="116"/>
      <c r="I292" s="116"/>
      <c r="J292" s="81"/>
      <c r="K292" s="81"/>
      <c r="L292" s="81"/>
    </row>
    <row r="293" spans="1:12" x14ac:dyDescent="0.2">
      <c r="A293" s="69"/>
      <c r="B293" s="69"/>
      <c r="C293" s="33"/>
      <c r="D293" s="35"/>
      <c r="E293" s="35"/>
      <c r="F293" s="36"/>
      <c r="G293" s="99"/>
      <c r="H293" s="116"/>
      <c r="I293" s="116"/>
      <c r="J293" s="81"/>
      <c r="K293" s="81"/>
      <c r="L293" s="81"/>
    </row>
    <row r="294" spans="1:12" x14ac:dyDescent="0.2">
      <c r="A294" s="6"/>
      <c r="B294" s="6"/>
      <c r="C294" s="33"/>
      <c r="D294" s="35"/>
      <c r="E294" s="35"/>
      <c r="F294" s="36"/>
      <c r="G294" s="99"/>
      <c r="H294" s="116"/>
      <c r="I294" s="116"/>
      <c r="J294" s="81"/>
      <c r="K294" s="81"/>
      <c r="L294" s="81"/>
    </row>
    <row r="295" spans="1:12" x14ac:dyDescent="0.2">
      <c r="A295" s="69"/>
      <c r="B295" s="69"/>
      <c r="C295" s="37"/>
      <c r="D295" s="34"/>
      <c r="E295" s="34"/>
      <c r="F295" s="79"/>
      <c r="G295" s="99"/>
      <c r="H295" s="116"/>
      <c r="I295" s="116"/>
      <c r="J295" s="81"/>
      <c r="K295" s="81"/>
      <c r="L295" s="81"/>
    </row>
    <row r="296" spans="1:12" x14ac:dyDescent="0.2">
      <c r="A296" s="6"/>
      <c r="B296" s="6"/>
      <c r="C296" s="33"/>
      <c r="D296" s="35"/>
      <c r="E296" s="35"/>
      <c r="F296" s="36"/>
      <c r="G296" s="99"/>
      <c r="H296" s="116"/>
      <c r="I296" s="116"/>
      <c r="J296" s="81"/>
      <c r="K296" s="81"/>
      <c r="L296" s="81"/>
    </row>
    <row r="297" spans="1:12" x14ac:dyDescent="0.2">
      <c r="A297" s="69"/>
      <c r="B297" s="69"/>
      <c r="C297" s="37"/>
      <c r="D297" s="34"/>
      <c r="E297" s="34"/>
      <c r="F297" s="79"/>
      <c r="G297" s="99"/>
      <c r="H297" s="116"/>
      <c r="I297" s="116"/>
      <c r="J297" s="81"/>
      <c r="K297" s="81"/>
      <c r="L297" s="81"/>
    </row>
    <row r="298" spans="1:12" x14ac:dyDescent="0.2">
      <c r="A298" s="6"/>
      <c r="B298" s="6"/>
      <c r="C298" s="33"/>
      <c r="D298" s="35"/>
      <c r="E298" s="35"/>
      <c r="F298" s="36"/>
      <c r="G298" s="99"/>
      <c r="H298" s="116"/>
      <c r="I298" s="116"/>
      <c r="J298" s="81"/>
      <c r="K298" s="81"/>
      <c r="L298" s="81"/>
    </row>
    <row r="299" spans="1:12" x14ac:dyDescent="0.2">
      <c r="A299" s="6"/>
      <c r="B299" s="6"/>
      <c r="C299" s="33"/>
      <c r="D299" s="35"/>
      <c r="E299" s="35"/>
      <c r="F299" s="36"/>
      <c r="G299" s="99"/>
      <c r="H299" s="116"/>
      <c r="I299" s="116"/>
      <c r="J299" s="81"/>
      <c r="K299" s="81"/>
      <c r="L299" s="81"/>
    </row>
    <row r="300" spans="1:12" x14ac:dyDescent="0.2">
      <c r="A300" s="69"/>
      <c r="B300" s="69"/>
      <c r="C300" s="37"/>
      <c r="D300" s="34"/>
      <c r="E300" s="34"/>
      <c r="F300" s="79"/>
      <c r="G300" s="99"/>
      <c r="H300" s="116"/>
      <c r="I300" s="116"/>
      <c r="J300" s="81"/>
      <c r="K300" s="81"/>
      <c r="L300" s="81"/>
    </row>
    <row r="301" spans="1:12" x14ac:dyDescent="0.2">
      <c r="A301" s="69"/>
      <c r="B301" s="69"/>
      <c r="C301" s="37"/>
      <c r="D301" s="34"/>
      <c r="E301" s="34"/>
      <c r="F301" s="79"/>
      <c r="G301" s="99"/>
      <c r="H301" s="116"/>
      <c r="I301" s="116"/>
      <c r="J301" s="81"/>
      <c r="K301" s="81"/>
      <c r="L301" s="81"/>
    </row>
    <row r="302" spans="1:12" x14ac:dyDescent="0.2">
      <c r="A302" s="6"/>
      <c r="B302" s="6"/>
      <c r="C302" s="33"/>
      <c r="D302" s="35"/>
      <c r="E302" s="35"/>
      <c r="F302" s="36"/>
      <c r="G302" s="99"/>
      <c r="H302" s="116"/>
      <c r="I302" s="116"/>
      <c r="J302" s="81"/>
      <c r="K302" s="81"/>
      <c r="L302" s="81"/>
    </row>
    <row r="303" spans="1:12" x14ac:dyDescent="0.2">
      <c r="A303" s="69"/>
      <c r="B303" s="69"/>
      <c r="C303" s="37"/>
      <c r="D303" s="34"/>
      <c r="E303" s="34"/>
      <c r="F303" s="79"/>
      <c r="G303" s="99"/>
      <c r="H303" s="116"/>
      <c r="I303" s="116"/>
      <c r="J303" s="81"/>
      <c r="K303" s="81"/>
      <c r="L303" s="81"/>
    </row>
    <row r="304" spans="1:12" x14ac:dyDescent="0.2">
      <c r="A304" s="6"/>
      <c r="B304" s="6"/>
      <c r="C304" s="33"/>
      <c r="D304" s="35"/>
      <c r="E304" s="35"/>
      <c r="F304" s="36"/>
      <c r="G304" s="99"/>
      <c r="H304" s="116"/>
      <c r="I304" s="116"/>
      <c r="J304" s="81"/>
      <c r="K304" s="81"/>
      <c r="L304" s="81"/>
    </row>
    <row r="305" spans="1:12" x14ac:dyDescent="0.2">
      <c r="A305" s="6"/>
      <c r="B305" s="6"/>
      <c r="C305" s="37"/>
      <c r="D305" s="34"/>
      <c r="E305" s="34"/>
      <c r="F305" s="34"/>
      <c r="G305" s="99"/>
      <c r="H305" s="116"/>
      <c r="I305" s="116"/>
      <c r="J305" s="81"/>
      <c r="K305" s="81"/>
      <c r="L305" s="81"/>
    </row>
    <row r="306" spans="1:12" x14ac:dyDescent="0.2">
      <c r="A306" s="6"/>
      <c r="B306" s="6"/>
      <c r="C306" s="80"/>
      <c r="D306" s="81"/>
      <c r="E306" s="81"/>
      <c r="F306" s="81"/>
      <c r="G306" s="99"/>
      <c r="H306" s="116"/>
      <c r="I306" s="116"/>
      <c r="J306" s="81"/>
      <c r="K306" s="81"/>
      <c r="L306" s="81"/>
    </row>
    <row r="307" spans="1:12" x14ac:dyDescent="0.2">
      <c r="A307" s="6"/>
      <c r="B307" s="6"/>
      <c r="C307" s="33"/>
      <c r="D307" s="35"/>
      <c r="E307" s="35"/>
      <c r="F307" s="36"/>
      <c r="G307" s="99"/>
      <c r="H307" s="116"/>
      <c r="I307" s="116"/>
      <c r="J307" s="81"/>
      <c r="K307" s="81"/>
      <c r="L307" s="81"/>
    </row>
    <row r="308" spans="1:12" x14ac:dyDescent="0.2">
      <c r="A308" s="69"/>
      <c r="B308" s="69"/>
      <c r="C308" s="37"/>
      <c r="D308" s="34"/>
      <c r="E308" s="34"/>
      <c r="F308" s="79"/>
      <c r="G308" s="99"/>
      <c r="H308" s="116"/>
      <c r="I308" s="116"/>
      <c r="J308" s="81"/>
      <c r="K308" s="81"/>
      <c r="L308" s="81"/>
    </row>
    <row r="309" spans="1:12" x14ac:dyDescent="0.2">
      <c r="A309" s="6"/>
      <c r="B309" s="6"/>
      <c r="C309" s="33"/>
      <c r="D309" s="35"/>
      <c r="E309" s="35"/>
      <c r="F309" s="36"/>
      <c r="G309" s="99"/>
      <c r="H309" s="116"/>
      <c r="I309" s="116"/>
      <c r="J309" s="81"/>
      <c r="K309" s="81"/>
      <c r="L309" s="81"/>
    </row>
    <row r="310" spans="1:12" x14ac:dyDescent="0.2">
      <c r="A310" s="6"/>
      <c r="B310" s="6"/>
      <c r="C310" s="33"/>
      <c r="D310" s="35"/>
      <c r="E310" s="35"/>
      <c r="F310" s="36"/>
      <c r="G310" s="99"/>
      <c r="H310" s="116"/>
      <c r="I310" s="116"/>
      <c r="J310" s="81"/>
      <c r="K310" s="81"/>
      <c r="L310" s="81"/>
    </row>
    <row r="311" spans="1:12" x14ac:dyDescent="0.2">
      <c r="A311" s="69"/>
      <c r="B311" s="69"/>
      <c r="C311" s="37"/>
      <c r="D311" s="34"/>
      <c r="E311" s="34"/>
      <c r="F311" s="79"/>
      <c r="G311" s="99"/>
      <c r="H311" s="116"/>
      <c r="I311" s="116"/>
      <c r="J311" s="81"/>
      <c r="K311" s="81"/>
      <c r="L311" s="81"/>
    </row>
    <row r="312" spans="1:12" x14ac:dyDescent="0.2">
      <c r="A312" s="69"/>
      <c r="B312" s="69"/>
      <c r="C312" s="37"/>
      <c r="D312" s="34"/>
      <c r="E312" s="34"/>
      <c r="F312" s="79"/>
      <c r="G312" s="99"/>
      <c r="H312" s="116"/>
      <c r="I312" s="116"/>
      <c r="J312" s="81"/>
      <c r="K312" s="81"/>
      <c r="L312" s="81"/>
    </row>
    <row r="313" spans="1:12" x14ac:dyDescent="0.2">
      <c r="A313" s="6"/>
      <c r="B313" s="6"/>
      <c r="C313" s="33"/>
      <c r="D313" s="35"/>
      <c r="E313" s="35"/>
      <c r="F313" s="36"/>
      <c r="G313" s="99"/>
      <c r="H313" s="116"/>
      <c r="I313" s="116"/>
      <c r="J313" s="81"/>
      <c r="K313" s="81"/>
      <c r="L313" s="81"/>
    </row>
    <row r="314" spans="1:12" x14ac:dyDescent="0.2">
      <c r="A314" s="6"/>
      <c r="B314" s="6"/>
      <c r="C314" s="33"/>
      <c r="D314" s="35"/>
      <c r="E314" s="35"/>
      <c r="F314" s="36"/>
      <c r="G314" s="99"/>
      <c r="H314" s="116"/>
      <c r="I314" s="116"/>
      <c r="J314" s="81"/>
      <c r="K314" s="81"/>
      <c r="L314" s="81"/>
    </row>
    <row r="315" spans="1:12" x14ac:dyDescent="0.2">
      <c r="A315" s="69"/>
      <c r="B315" s="69"/>
      <c r="C315" s="37"/>
      <c r="D315" s="34"/>
      <c r="E315" s="34"/>
      <c r="F315" s="79"/>
      <c r="G315" s="99"/>
      <c r="H315" s="116"/>
      <c r="I315" s="116"/>
      <c r="J315" s="81"/>
      <c r="K315" s="81"/>
      <c r="L315" s="81"/>
    </row>
    <row r="316" spans="1:12" x14ac:dyDescent="0.2">
      <c r="A316" s="6"/>
      <c r="B316" s="6"/>
      <c r="C316" s="37"/>
      <c r="D316" s="34"/>
      <c r="E316" s="34"/>
      <c r="F316" s="79"/>
      <c r="G316" s="99"/>
      <c r="H316" s="116"/>
      <c r="I316" s="116"/>
      <c r="J316" s="81"/>
      <c r="K316" s="81"/>
      <c r="L316" s="81"/>
    </row>
    <row r="317" spans="1:12" x14ac:dyDescent="0.2">
      <c r="A317" s="6"/>
      <c r="B317" s="6"/>
      <c r="C317" s="33"/>
      <c r="D317" s="35"/>
      <c r="E317" s="35"/>
      <c r="F317" s="36"/>
      <c r="G317" s="99"/>
      <c r="H317" s="116"/>
      <c r="I317" s="116"/>
      <c r="J317" s="81"/>
      <c r="K317" s="81"/>
      <c r="L317" s="81"/>
    </row>
    <row r="318" spans="1:12" x14ac:dyDescent="0.2">
      <c r="A318" s="6"/>
      <c r="B318" s="6"/>
      <c r="C318" s="33"/>
      <c r="D318" s="35"/>
      <c r="E318" s="35"/>
      <c r="F318" s="36"/>
      <c r="G318" s="99"/>
      <c r="H318" s="116"/>
      <c r="I318" s="116"/>
      <c r="J318" s="81"/>
      <c r="K318" s="81"/>
      <c r="L318" s="81"/>
    </row>
    <row r="319" spans="1:12" x14ac:dyDescent="0.2">
      <c r="A319" s="80"/>
      <c r="B319" s="80"/>
      <c r="C319" s="82"/>
      <c r="D319" s="35"/>
      <c r="E319" s="35"/>
      <c r="F319" s="35"/>
    </row>
    <row r="320" spans="1:12" x14ac:dyDescent="0.2">
      <c r="A320" s="82"/>
      <c r="B320" s="82"/>
      <c r="C320" s="37"/>
      <c r="D320" s="34"/>
      <c r="E320" s="34"/>
      <c r="F320" s="79"/>
    </row>
    <row r="321" spans="1:7" x14ac:dyDescent="0.2">
      <c r="A321" s="82"/>
      <c r="B321" s="82"/>
      <c r="C321" s="83"/>
      <c r="D321" s="34"/>
      <c r="E321" s="34"/>
      <c r="F321" s="79"/>
    </row>
    <row r="322" spans="1:7" x14ac:dyDescent="0.2">
      <c r="A322" s="82"/>
      <c r="B322" s="82"/>
      <c r="C322" s="83"/>
      <c r="D322" s="34"/>
      <c r="E322" s="34"/>
      <c r="F322" s="79"/>
    </row>
    <row r="323" spans="1:7" ht="15" x14ac:dyDescent="0.2">
      <c r="A323" s="84"/>
      <c r="B323" s="84"/>
      <c r="C323" s="83"/>
      <c r="D323" s="85"/>
      <c r="E323" s="79"/>
      <c r="F323" s="86"/>
    </row>
    <row r="324" spans="1:7" x14ac:dyDescent="0.2">
      <c r="A324" s="33"/>
      <c r="B324" s="33"/>
      <c r="C324" s="87"/>
      <c r="D324" s="85"/>
      <c r="E324" s="88"/>
      <c r="F324" s="89"/>
    </row>
    <row r="325" spans="1:7" x14ac:dyDescent="0.2">
      <c r="A325" s="6"/>
      <c r="B325" s="6"/>
      <c r="C325" s="87"/>
      <c r="D325" s="82"/>
      <c r="E325" s="88"/>
      <c r="F325" s="89"/>
    </row>
    <row r="326" spans="1:7" x14ac:dyDescent="0.2">
      <c r="A326" s="6"/>
      <c r="B326" s="6"/>
      <c r="C326" s="87"/>
      <c r="D326" s="82"/>
      <c r="E326" s="88"/>
      <c r="F326" s="89"/>
    </row>
    <row r="327" spans="1:7" x14ac:dyDescent="0.2">
      <c r="A327" s="6"/>
      <c r="B327" s="6"/>
      <c r="C327" s="87"/>
      <c r="D327" s="82"/>
      <c r="E327" s="88"/>
      <c r="F327" s="89"/>
    </row>
    <row r="328" spans="1:7" x14ac:dyDescent="0.2">
      <c r="A328" s="6"/>
      <c r="B328" s="6"/>
      <c r="C328" s="87"/>
      <c r="D328" s="82"/>
      <c r="E328" s="88"/>
      <c r="F328" s="89"/>
    </row>
    <row r="329" spans="1:7" x14ac:dyDescent="0.2">
      <c r="A329" s="6"/>
      <c r="B329" s="6"/>
      <c r="C329" s="87"/>
      <c r="D329" s="82"/>
      <c r="E329" s="88"/>
      <c r="F329" s="89"/>
    </row>
    <row r="330" spans="1:7" x14ac:dyDescent="0.2">
      <c r="A330" s="6"/>
      <c r="B330" s="6"/>
      <c r="C330" s="83"/>
      <c r="D330" s="85"/>
      <c r="E330" s="79"/>
      <c r="F330" s="79"/>
    </row>
    <row r="331" spans="1:7" x14ac:dyDescent="0.2">
      <c r="A331" s="32"/>
      <c r="B331" s="32"/>
      <c r="C331" s="83"/>
      <c r="D331" s="79"/>
      <c r="E331" s="79"/>
      <c r="F331" s="79"/>
      <c r="G331" s="117"/>
    </row>
    <row r="332" spans="1:7" x14ac:dyDescent="0.2">
      <c r="A332" s="32"/>
      <c r="B332" s="32"/>
      <c r="C332" s="83"/>
      <c r="D332" s="79"/>
      <c r="E332" s="79"/>
      <c r="F332" s="79"/>
      <c r="G332" s="117"/>
    </row>
    <row r="333" spans="1:7" x14ac:dyDescent="0.2">
      <c r="A333" s="32"/>
      <c r="B333" s="32"/>
      <c r="C333" s="83"/>
      <c r="D333" s="79"/>
      <c r="E333" s="79"/>
      <c r="F333" s="79"/>
    </row>
    <row r="334" spans="1:7" x14ac:dyDescent="0.2">
      <c r="A334" s="32"/>
      <c r="B334" s="32"/>
      <c r="C334" s="83"/>
      <c r="D334" s="79"/>
      <c r="E334" s="79"/>
      <c r="F334" s="79"/>
    </row>
    <row r="335" spans="1:7" x14ac:dyDescent="0.2">
      <c r="A335" s="32"/>
      <c r="B335" s="32"/>
      <c r="C335" s="83"/>
      <c r="D335" s="79"/>
      <c r="E335" s="79"/>
      <c r="F335" s="79"/>
    </row>
    <row r="336" spans="1:7" x14ac:dyDescent="0.2">
      <c r="A336" s="32"/>
      <c r="B336" s="32"/>
      <c r="C336" s="90"/>
      <c r="D336" s="91"/>
      <c r="E336" s="91"/>
      <c r="F336" s="36"/>
    </row>
    <row r="337" spans="1:6" x14ac:dyDescent="0.2">
      <c r="A337" s="32"/>
      <c r="B337" s="32"/>
      <c r="C337" s="83"/>
      <c r="D337" s="79"/>
      <c r="E337" s="79"/>
      <c r="F337" s="79"/>
    </row>
    <row r="338" spans="1:6" x14ac:dyDescent="0.2">
      <c r="A338" s="32"/>
      <c r="B338" s="32"/>
      <c r="C338" s="90"/>
      <c r="D338" s="92"/>
      <c r="E338" s="92"/>
      <c r="F338" s="36"/>
    </row>
    <row r="339" spans="1:6" x14ac:dyDescent="0.2">
      <c r="A339" s="32"/>
      <c r="B339" s="32"/>
      <c r="C339" s="83"/>
      <c r="D339" s="93"/>
      <c r="E339" s="93"/>
      <c r="F339" s="79"/>
    </row>
    <row r="340" spans="1:6" x14ac:dyDescent="0.2">
      <c r="A340" s="32"/>
      <c r="B340" s="32"/>
      <c r="C340" s="83"/>
      <c r="D340" s="93"/>
      <c r="E340" s="93"/>
      <c r="F340" s="79"/>
    </row>
    <row r="341" spans="1:6" x14ac:dyDescent="0.2">
      <c r="A341" s="32"/>
      <c r="B341" s="32"/>
      <c r="C341" s="94"/>
      <c r="D341" s="92"/>
      <c r="E341" s="92"/>
      <c r="F341" s="36"/>
    </row>
    <row r="342" spans="1:6" x14ac:dyDescent="0.2">
      <c r="A342" s="32"/>
      <c r="B342" s="32"/>
      <c r="C342" s="33"/>
      <c r="D342" s="95"/>
      <c r="E342" s="95"/>
      <c r="F342" s="36"/>
    </row>
    <row r="343" spans="1:6" x14ac:dyDescent="0.2">
      <c r="A343" s="32"/>
      <c r="B343" s="32"/>
      <c r="C343" s="37"/>
      <c r="D343" s="96"/>
      <c r="E343" s="96"/>
      <c r="F343" s="79"/>
    </row>
    <row r="344" spans="1:6" x14ac:dyDescent="0.2">
      <c r="A344" s="32"/>
      <c r="B344" s="32"/>
      <c r="C344" s="37"/>
      <c r="D344" s="96"/>
      <c r="E344" s="96"/>
      <c r="F344" s="79"/>
    </row>
    <row r="345" spans="1:6" x14ac:dyDescent="0.2">
      <c r="A345" s="32"/>
      <c r="B345" s="32"/>
      <c r="C345" s="37"/>
      <c r="D345" s="96"/>
      <c r="E345" s="96"/>
      <c r="F345" s="79"/>
    </row>
    <row r="346" spans="1:6" x14ac:dyDescent="0.2">
      <c r="A346" s="32"/>
      <c r="B346" s="32"/>
      <c r="C346" s="37"/>
      <c r="D346" s="96"/>
      <c r="E346" s="96"/>
      <c r="F346" s="79"/>
    </row>
    <row r="347" spans="1:6" x14ac:dyDescent="0.2">
      <c r="A347" s="32"/>
      <c r="B347" s="32"/>
      <c r="C347" s="37"/>
      <c r="D347" s="96"/>
      <c r="E347" s="96"/>
      <c r="F347" s="79"/>
    </row>
    <row r="348" spans="1:6" x14ac:dyDescent="0.2">
      <c r="A348" s="32"/>
      <c r="B348" s="32"/>
      <c r="C348" s="37"/>
      <c r="D348" s="96"/>
      <c r="E348" s="96"/>
      <c r="F348" s="79"/>
    </row>
    <row r="349" spans="1:6" x14ac:dyDescent="0.2">
      <c r="A349" s="32"/>
      <c r="B349" s="32"/>
      <c r="C349" s="37"/>
      <c r="D349" s="96"/>
      <c r="E349" s="96"/>
      <c r="F349" s="79"/>
    </row>
    <row r="350" spans="1:6" x14ac:dyDescent="0.2">
      <c r="A350" s="32"/>
      <c r="B350" s="32"/>
      <c r="C350" s="37"/>
      <c r="D350" s="96"/>
      <c r="E350" s="96"/>
      <c r="F350" s="79"/>
    </row>
    <row r="351" spans="1:6" x14ac:dyDescent="0.2">
      <c r="A351" s="32"/>
      <c r="B351" s="32"/>
      <c r="C351" s="37"/>
      <c r="D351" s="96"/>
      <c r="E351" s="96"/>
      <c r="F351" s="79"/>
    </row>
    <row r="352" spans="1:6" x14ac:dyDescent="0.2">
      <c r="A352" s="32"/>
      <c r="B352" s="32"/>
      <c r="C352" s="37"/>
      <c r="D352" s="96"/>
      <c r="E352" s="96"/>
      <c r="F352" s="79"/>
    </row>
    <row r="353" spans="1:6" x14ac:dyDescent="0.2">
      <c r="A353" s="32"/>
      <c r="B353" s="32"/>
      <c r="C353" s="37"/>
      <c r="D353" s="96"/>
      <c r="E353" s="96"/>
      <c r="F353" s="79"/>
    </row>
    <row r="354" spans="1:6" x14ac:dyDescent="0.2">
      <c r="A354" s="32"/>
      <c r="B354" s="32"/>
      <c r="C354" s="37"/>
      <c r="D354" s="96"/>
      <c r="E354" s="96"/>
      <c r="F354" s="79"/>
    </row>
    <row r="355" spans="1:6" x14ac:dyDescent="0.2">
      <c r="A355" s="32"/>
      <c r="B355" s="32"/>
      <c r="C355" s="37"/>
      <c r="D355" s="96"/>
      <c r="E355" s="96"/>
      <c r="F355" s="79"/>
    </row>
    <row r="356" spans="1:6" x14ac:dyDescent="0.2">
      <c r="A356" s="32"/>
      <c r="B356" s="32"/>
      <c r="C356" s="37"/>
      <c r="D356" s="96"/>
      <c r="E356" s="96"/>
      <c r="F356" s="79"/>
    </row>
    <row r="357" spans="1:6" x14ac:dyDescent="0.2">
      <c r="A357" s="32"/>
      <c r="B357" s="32"/>
      <c r="C357" s="37"/>
      <c r="D357" s="96"/>
      <c r="E357" s="96"/>
      <c r="F357" s="79"/>
    </row>
    <row r="358" spans="1:6" x14ac:dyDescent="0.2">
      <c r="A358" s="32"/>
      <c r="B358" s="32"/>
      <c r="C358" s="37"/>
      <c r="D358" s="96"/>
      <c r="E358" s="96"/>
      <c r="F358" s="79"/>
    </row>
    <row r="359" spans="1:6" x14ac:dyDescent="0.2">
      <c r="A359" s="32"/>
      <c r="B359" s="32"/>
      <c r="C359" s="33"/>
      <c r="D359" s="95"/>
      <c r="E359" s="95"/>
      <c r="F359" s="36"/>
    </row>
    <row r="360" spans="1:6" x14ac:dyDescent="0.2">
      <c r="A360" s="32"/>
      <c r="B360" s="32"/>
      <c r="C360" s="37"/>
      <c r="D360" s="96"/>
      <c r="E360" s="96"/>
      <c r="F360" s="79"/>
    </row>
    <row r="361" spans="1:6" x14ac:dyDescent="0.2">
      <c r="A361" s="97"/>
      <c r="B361" s="97"/>
      <c r="C361" s="33"/>
      <c r="D361" s="95"/>
      <c r="E361" s="95"/>
      <c r="F361" s="36"/>
    </row>
    <row r="362" spans="1:6" x14ac:dyDescent="0.2">
      <c r="A362" s="32"/>
      <c r="B362" s="32"/>
      <c r="C362" s="37"/>
      <c r="D362" s="96"/>
      <c r="E362" s="96"/>
      <c r="F362" s="79"/>
    </row>
    <row r="363" spans="1:6" x14ac:dyDescent="0.2">
      <c r="A363" s="32"/>
      <c r="B363" s="32"/>
      <c r="C363" s="37"/>
      <c r="D363" s="96"/>
      <c r="E363" s="96"/>
      <c r="F363" s="79"/>
    </row>
    <row r="364" spans="1:6" x14ac:dyDescent="0.2">
      <c r="A364" s="32"/>
      <c r="B364" s="32"/>
      <c r="C364" s="33"/>
      <c r="D364" s="95"/>
      <c r="E364" s="95"/>
      <c r="F364" s="36"/>
    </row>
    <row r="365" spans="1:6" x14ac:dyDescent="0.2">
      <c r="A365" s="32"/>
      <c r="B365" s="32"/>
      <c r="C365" s="37"/>
      <c r="D365" s="96"/>
      <c r="E365" s="96"/>
      <c r="F365" s="79"/>
    </row>
    <row r="366" spans="1:6" x14ac:dyDescent="0.2">
      <c r="A366" s="32"/>
      <c r="B366" s="32"/>
      <c r="C366" s="33"/>
      <c r="D366" s="95"/>
      <c r="E366" s="95"/>
      <c r="F366" s="36"/>
    </row>
    <row r="367" spans="1:6" x14ac:dyDescent="0.2">
      <c r="A367" s="32"/>
      <c r="B367" s="32"/>
      <c r="C367" s="37"/>
      <c r="D367" s="96"/>
      <c r="E367" s="96"/>
      <c r="F367" s="79"/>
    </row>
    <row r="368" spans="1:6" x14ac:dyDescent="0.2">
      <c r="A368" s="32"/>
      <c r="B368" s="32"/>
      <c r="C368" s="33"/>
      <c r="D368" s="95"/>
      <c r="E368" s="95"/>
      <c r="F368" s="36"/>
    </row>
    <row r="369" spans="1:6" x14ac:dyDescent="0.2">
      <c r="A369" s="32"/>
      <c r="B369" s="32"/>
      <c r="C369" s="33"/>
      <c r="D369" s="95"/>
      <c r="E369" s="95"/>
      <c r="F369" s="36"/>
    </row>
    <row r="370" spans="1:6" x14ac:dyDescent="0.2">
      <c r="A370" s="32"/>
      <c r="B370" s="32"/>
      <c r="C370" s="37"/>
      <c r="D370" s="96"/>
      <c r="E370" s="96"/>
      <c r="F370" s="79"/>
    </row>
    <row r="371" spans="1:6" x14ac:dyDescent="0.2">
      <c r="A371" s="32"/>
      <c r="B371" s="32"/>
      <c r="C371" s="37"/>
      <c r="D371" s="96"/>
      <c r="E371" s="96"/>
      <c r="F371" s="79"/>
    </row>
    <row r="372" spans="1:6" x14ac:dyDescent="0.2">
      <c r="A372" s="32"/>
      <c r="B372" s="32"/>
      <c r="C372" s="37"/>
      <c r="D372" s="96"/>
      <c r="E372" s="96"/>
      <c r="F372" s="79"/>
    </row>
    <row r="373" spans="1:6" x14ac:dyDescent="0.2">
      <c r="A373" s="32"/>
      <c r="B373" s="32"/>
      <c r="C373" s="37"/>
      <c r="D373" s="96"/>
      <c r="E373" s="96"/>
      <c r="F373" s="79"/>
    </row>
    <row r="374" spans="1:6" x14ac:dyDescent="0.2">
      <c r="A374" s="32"/>
      <c r="B374" s="32"/>
      <c r="C374" s="37"/>
      <c r="D374" s="96"/>
      <c r="E374" s="96"/>
      <c r="F374" s="79"/>
    </row>
    <row r="375" spans="1:6" x14ac:dyDescent="0.2">
      <c r="A375" s="32"/>
      <c r="B375" s="32"/>
      <c r="C375" s="37"/>
      <c r="D375" s="96"/>
      <c r="E375" s="96"/>
      <c r="F375" s="79"/>
    </row>
    <row r="376" spans="1:6" x14ac:dyDescent="0.2">
      <c r="A376" s="32"/>
      <c r="B376" s="32"/>
      <c r="C376" s="37"/>
      <c r="D376" s="96"/>
      <c r="E376" s="96"/>
      <c r="F376" s="79"/>
    </row>
    <row r="377" spans="1:6" x14ac:dyDescent="0.2">
      <c r="A377" s="32"/>
      <c r="B377" s="32"/>
      <c r="C377" s="37"/>
      <c r="D377" s="96"/>
      <c r="E377" s="96"/>
      <c r="F377" s="79"/>
    </row>
    <row r="378" spans="1:6" x14ac:dyDescent="0.2">
      <c r="A378" s="32"/>
      <c r="B378" s="32"/>
      <c r="C378" s="37"/>
      <c r="D378" s="96"/>
      <c r="E378" s="96"/>
      <c r="F378" s="79"/>
    </row>
    <row r="379" spans="1:6" x14ac:dyDescent="0.2">
      <c r="A379" s="32"/>
      <c r="B379" s="32"/>
      <c r="C379" s="37"/>
      <c r="D379" s="96"/>
      <c r="E379" s="96"/>
      <c r="F379" s="79"/>
    </row>
    <row r="380" spans="1:6" x14ac:dyDescent="0.2">
      <c r="A380" s="98"/>
      <c r="B380" s="98"/>
      <c r="C380" s="37"/>
      <c r="D380" s="96"/>
      <c r="E380" s="96"/>
      <c r="F380" s="79"/>
    </row>
    <row r="381" spans="1:6" x14ac:dyDescent="0.2">
      <c r="A381" s="98"/>
      <c r="B381" s="98"/>
      <c r="C381" s="37"/>
      <c r="D381" s="96"/>
      <c r="E381" s="96"/>
      <c r="F381" s="79"/>
    </row>
    <row r="382" spans="1:6" x14ac:dyDescent="0.2">
      <c r="A382" s="98"/>
      <c r="B382" s="98"/>
      <c r="C382" s="37"/>
      <c r="D382" s="96"/>
      <c r="E382" s="96"/>
      <c r="F382" s="79"/>
    </row>
    <row r="383" spans="1:6" x14ac:dyDescent="0.2">
      <c r="A383" s="98"/>
      <c r="B383" s="98"/>
      <c r="C383" s="37"/>
      <c r="D383" s="96"/>
      <c r="E383" s="96"/>
      <c r="F383" s="79"/>
    </row>
    <row r="384" spans="1:6" x14ac:dyDescent="0.2">
      <c r="A384" s="98"/>
      <c r="B384" s="98"/>
      <c r="C384" s="37"/>
      <c r="D384" s="96"/>
      <c r="E384" s="96"/>
      <c r="F384" s="79"/>
    </row>
    <row r="385" spans="1:6" x14ac:dyDescent="0.2">
      <c r="A385" s="98"/>
      <c r="B385" s="98"/>
      <c r="C385" s="37"/>
      <c r="D385" s="96"/>
      <c r="E385" s="96"/>
      <c r="F385" s="79"/>
    </row>
    <row r="386" spans="1:6" x14ac:dyDescent="0.2">
      <c r="A386" s="98"/>
      <c r="B386" s="98"/>
      <c r="C386" s="33"/>
      <c r="D386" s="95"/>
      <c r="E386" s="95"/>
      <c r="F386" s="36"/>
    </row>
    <row r="387" spans="1:6" x14ac:dyDescent="0.2">
      <c r="A387" s="32"/>
      <c r="B387" s="32"/>
      <c r="C387" s="37"/>
      <c r="D387" s="96"/>
      <c r="E387" s="96"/>
      <c r="F387" s="79"/>
    </row>
    <row r="388" spans="1:6" x14ac:dyDescent="0.2">
      <c r="A388" s="32"/>
      <c r="B388" s="32"/>
      <c r="C388" s="37"/>
      <c r="D388" s="96"/>
      <c r="E388" s="96"/>
      <c r="F388" s="79"/>
    </row>
    <row r="389" spans="1:6" x14ac:dyDescent="0.2">
      <c r="A389" s="32"/>
      <c r="B389" s="32"/>
      <c r="C389" s="33"/>
      <c r="D389" s="95"/>
      <c r="E389" s="95"/>
      <c r="F389" s="36"/>
    </row>
    <row r="390" spans="1:6" x14ac:dyDescent="0.2">
      <c r="A390" s="32"/>
      <c r="B390" s="32"/>
      <c r="C390" s="37"/>
      <c r="D390" s="96"/>
      <c r="E390" s="96"/>
      <c r="F390" s="79"/>
    </row>
    <row r="391" spans="1:6" x14ac:dyDescent="0.2">
      <c r="A391" s="97"/>
      <c r="B391" s="97"/>
      <c r="C391" s="37"/>
      <c r="D391" s="96"/>
      <c r="E391" s="96"/>
      <c r="F391" s="79"/>
    </row>
    <row r="392" spans="1:6" x14ac:dyDescent="0.2">
      <c r="A392" s="97"/>
      <c r="B392" s="97"/>
      <c r="C392" s="33"/>
      <c r="D392" s="95"/>
      <c r="E392" s="95"/>
      <c r="F392" s="36"/>
    </row>
    <row r="393" spans="1:6" x14ac:dyDescent="0.2">
      <c r="A393" s="32"/>
      <c r="B393" s="32"/>
      <c r="C393" s="37"/>
      <c r="D393" s="96"/>
      <c r="E393" s="96"/>
      <c r="F393" s="79"/>
    </row>
    <row r="394" spans="1:6" x14ac:dyDescent="0.2">
      <c r="A394" s="32"/>
      <c r="B394" s="32"/>
      <c r="C394" s="33"/>
      <c r="D394" s="95"/>
      <c r="E394" s="95"/>
      <c r="F394" s="36"/>
    </row>
    <row r="395" spans="1:6" x14ac:dyDescent="0.2">
      <c r="A395" s="32"/>
      <c r="B395" s="32"/>
      <c r="C395" s="37"/>
      <c r="D395" s="96"/>
      <c r="E395" s="96"/>
      <c r="F395" s="79"/>
    </row>
    <row r="396" spans="1:6" x14ac:dyDescent="0.2">
      <c r="A396" s="32"/>
      <c r="B396" s="32"/>
      <c r="C396" s="37"/>
      <c r="D396" s="96"/>
      <c r="E396" s="96"/>
      <c r="F396" s="79"/>
    </row>
    <row r="397" spans="1:6" x14ac:dyDescent="0.2">
      <c r="A397" s="32"/>
      <c r="B397" s="32"/>
      <c r="C397" s="33"/>
      <c r="D397" s="95"/>
      <c r="E397" s="95"/>
      <c r="F397" s="36"/>
    </row>
    <row r="398" spans="1:6" x14ac:dyDescent="0.2">
      <c r="A398" s="32"/>
      <c r="B398" s="32"/>
      <c r="C398" s="33"/>
      <c r="D398" s="95"/>
      <c r="E398" s="95"/>
      <c r="F398" s="36"/>
    </row>
    <row r="399" spans="1:6" x14ac:dyDescent="0.2">
      <c r="A399" s="32"/>
      <c r="B399" s="32"/>
      <c r="C399" s="37"/>
      <c r="D399" s="96"/>
      <c r="E399" s="96"/>
      <c r="F399" s="79"/>
    </row>
    <row r="400" spans="1:6" x14ac:dyDescent="0.2">
      <c r="A400" s="32"/>
      <c r="B400" s="32"/>
      <c r="C400" s="37"/>
      <c r="D400" s="96"/>
      <c r="E400" s="96"/>
      <c r="F400" s="79"/>
    </row>
    <row r="401" spans="1:6" x14ac:dyDescent="0.2">
      <c r="A401" s="32"/>
      <c r="B401" s="32"/>
      <c r="C401" s="37"/>
      <c r="D401" s="96"/>
      <c r="E401" s="96"/>
      <c r="F401" s="79"/>
    </row>
    <row r="402" spans="1:6" x14ac:dyDescent="0.2">
      <c r="A402" s="32"/>
      <c r="B402" s="32"/>
      <c r="C402" s="37"/>
      <c r="D402" s="96"/>
      <c r="E402" s="96"/>
      <c r="F402" s="79"/>
    </row>
    <row r="403" spans="1:6" x14ac:dyDescent="0.2">
      <c r="A403" s="32"/>
      <c r="B403" s="32"/>
      <c r="C403" s="37"/>
      <c r="D403" s="96"/>
      <c r="E403" s="96"/>
      <c r="F403" s="79"/>
    </row>
    <row r="404" spans="1:6" x14ac:dyDescent="0.2">
      <c r="A404" s="32"/>
      <c r="B404" s="32"/>
      <c r="C404" s="37"/>
      <c r="D404" s="96"/>
      <c r="E404" s="96"/>
      <c r="F404" s="79"/>
    </row>
    <row r="405" spans="1:6" x14ac:dyDescent="0.2">
      <c r="A405" s="32"/>
      <c r="B405" s="32"/>
      <c r="C405" s="37"/>
      <c r="D405" s="96"/>
      <c r="E405" s="96"/>
      <c r="F405" s="79"/>
    </row>
    <row r="406" spans="1:6" x14ac:dyDescent="0.2">
      <c r="A406" s="32"/>
      <c r="B406" s="32"/>
      <c r="C406" s="33"/>
      <c r="D406" s="95"/>
      <c r="E406" s="95"/>
      <c r="F406" s="36"/>
    </row>
    <row r="407" spans="1:6" x14ac:dyDescent="0.2">
      <c r="A407" s="32"/>
      <c r="B407" s="32"/>
      <c r="C407" s="37"/>
      <c r="D407" s="96"/>
      <c r="E407" s="96"/>
      <c r="F407" s="79"/>
    </row>
    <row r="408" spans="1:6" x14ac:dyDescent="0.2">
      <c r="A408" s="97"/>
      <c r="B408" s="97"/>
      <c r="C408" s="37"/>
      <c r="D408" s="96"/>
      <c r="E408" s="96"/>
      <c r="F408" s="79"/>
    </row>
    <row r="409" spans="1:6" x14ac:dyDescent="0.2">
      <c r="A409" s="97"/>
      <c r="B409" s="97"/>
      <c r="C409" s="33"/>
      <c r="D409" s="95"/>
      <c r="E409" s="95"/>
      <c r="F409" s="36"/>
    </row>
    <row r="410" spans="1:6" x14ac:dyDescent="0.2">
      <c r="A410" s="32"/>
      <c r="B410" s="32"/>
      <c r="C410" s="37"/>
      <c r="D410" s="96"/>
      <c r="E410" s="96"/>
      <c r="F410" s="79"/>
    </row>
    <row r="411" spans="1:6" x14ac:dyDescent="0.2">
      <c r="A411" s="32"/>
      <c r="B411" s="32"/>
      <c r="C411" s="37"/>
      <c r="D411" s="96"/>
      <c r="E411" s="96"/>
      <c r="F411" s="79"/>
    </row>
    <row r="412" spans="1:6" x14ac:dyDescent="0.2">
      <c r="A412" s="32"/>
      <c r="B412" s="32"/>
      <c r="C412" s="33"/>
      <c r="D412" s="95"/>
      <c r="E412" s="95"/>
      <c r="F412" s="36"/>
    </row>
    <row r="413" spans="1:6" x14ac:dyDescent="0.2">
      <c r="A413" s="32"/>
      <c r="B413" s="32"/>
      <c r="C413" s="37"/>
      <c r="D413" s="96"/>
      <c r="E413" s="96"/>
      <c r="F413" s="79"/>
    </row>
    <row r="414" spans="1:6" x14ac:dyDescent="0.2">
      <c r="A414" s="32"/>
      <c r="B414" s="32"/>
      <c r="C414" s="37"/>
      <c r="D414" s="96"/>
      <c r="E414" s="96"/>
      <c r="F414" s="79"/>
    </row>
    <row r="415" spans="1:6" x14ac:dyDescent="0.2">
      <c r="A415" s="32"/>
      <c r="B415" s="32"/>
      <c r="C415" s="37"/>
      <c r="D415" s="96"/>
      <c r="E415" s="96"/>
      <c r="F415" s="79"/>
    </row>
    <row r="416" spans="1:6" x14ac:dyDescent="0.2">
      <c r="A416" s="32"/>
      <c r="B416" s="32"/>
      <c r="C416" s="37"/>
      <c r="D416" s="96"/>
      <c r="E416" s="96"/>
      <c r="F416" s="79"/>
    </row>
    <row r="417" spans="1:6" x14ac:dyDescent="0.2">
      <c r="A417" s="32"/>
      <c r="B417" s="32"/>
      <c r="C417" s="37"/>
      <c r="D417" s="96"/>
      <c r="E417" s="96"/>
      <c r="F417" s="79"/>
    </row>
    <row r="418" spans="1:6" x14ac:dyDescent="0.2">
      <c r="A418" s="32"/>
      <c r="B418" s="32"/>
      <c r="C418" s="37"/>
      <c r="D418" s="96"/>
      <c r="E418" s="96"/>
      <c r="F418" s="79"/>
    </row>
    <row r="419" spans="1:6" x14ac:dyDescent="0.2">
      <c r="A419" s="32"/>
      <c r="B419" s="32"/>
      <c r="C419" s="33"/>
      <c r="D419" s="95"/>
      <c r="E419" s="95"/>
      <c r="F419" s="36"/>
    </row>
    <row r="420" spans="1:6" x14ac:dyDescent="0.2">
      <c r="A420" s="32"/>
      <c r="B420" s="32"/>
      <c r="C420" s="80"/>
      <c r="D420" s="96"/>
      <c r="E420" s="96"/>
      <c r="F420" s="79"/>
    </row>
    <row r="421" spans="1:6" x14ac:dyDescent="0.2">
      <c r="A421" s="32"/>
      <c r="B421" s="32"/>
      <c r="C421" s="37"/>
      <c r="D421" s="96"/>
      <c r="E421" s="96"/>
      <c r="F421" s="79"/>
    </row>
    <row r="422" spans="1:6" x14ac:dyDescent="0.2">
      <c r="A422" s="32"/>
      <c r="B422" s="32"/>
      <c r="C422" s="37"/>
      <c r="D422" s="96"/>
      <c r="E422" s="96"/>
      <c r="F422" s="79"/>
    </row>
    <row r="423" spans="1:6" x14ac:dyDescent="0.2">
      <c r="A423" s="32"/>
      <c r="B423" s="32"/>
      <c r="C423" s="37"/>
      <c r="D423" s="96"/>
      <c r="E423" s="96"/>
      <c r="F423" s="79"/>
    </row>
    <row r="424" spans="1:6" x14ac:dyDescent="0.2">
      <c r="A424" s="32"/>
      <c r="B424" s="32"/>
      <c r="C424" s="33"/>
      <c r="D424" s="95"/>
      <c r="E424" s="95"/>
      <c r="F424" s="36"/>
    </row>
    <row r="425" spans="1:6" x14ac:dyDescent="0.2">
      <c r="A425" s="32"/>
      <c r="B425" s="32"/>
      <c r="C425" s="80"/>
      <c r="D425" s="99"/>
      <c r="E425" s="99"/>
      <c r="F425" s="100"/>
    </row>
    <row r="426" spans="1:6" x14ac:dyDescent="0.2">
      <c r="A426" s="32"/>
      <c r="B426" s="32"/>
      <c r="C426" s="33"/>
      <c r="D426" s="95"/>
      <c r="E426" s="95"/>
      <c r="F426" s="36"/>
    </row>
    <row r="427" spans="1:6" x14ac:dyDescent="0.2">
      <c r="A427" s="32"/>
      <c r="B427" s="32"/>
      <c r="C427" s="33"/>
      <c r="D427" s="95"/>
      <c r="E427" s="95"/>
      <c r="F427" s="36"/>
    </row>
    <row r="428" spans="1:6" x14ac:dyDescent="0.2">
      <c r="A428" s="32"/>
      <c r="B428" s="32"/>
      <c r="C428" s="37"/>
      <c r="D428" s="96"/>
      <c r="E428" s="96"/>
      <c r="F428" s="79"/>
    </row>
    <row r="429" spans="1:6" x14ac:dyDescent="0.2">
      <c r="A429" s="32"/>
      <c r="B429" s="32"/>
      <c r="C429" s="33"/>
      <c r="D429" s="95"/>
      <c r="E429" s="95"/>
      <c r="F429" s="36"/>
    </row>
    <row r="430" spans="1:6" x14ac:dyDescent="0.2">
      <c r="A430" s="32"/>
      <c r="B430" s="32"/>
      <c r="C430" s="37"/>
      <c r="D430" s="96"/>
      <c r="E430" s="96"/>
      <c r="F430" s="79"/>
    </row>
    <row r="431" spans="1:6" x14ac:dyDescent="0.2">
      <c r="A431" s="32"/>
      <c r="B431" s="32"/>
      <c r="C431" s="33"/>
      <c r="D431" s="95"/>
      <c r="E431" s="95"/>
      <c r="F431" s="36"/>
    </row>
    <row r="432" spans="1:6" x14ac:dyDescent="0.2">
      <c r="A432" s="32"/>
      <c r="B432" s="32"/>
      <c r="C432" s="33"/>
      <c r="D432" s="95"/>
      <c r="E432" s="95"/>
      <c r="F432" s="36"/>
    </row>
    <row r="433" spans="1:6" x14ac:dyDescent="0.2">
      <c r="A433" s="32"/>
      <c r="B433" s="32"/>
      <c r="C433" s="37"/>
      <c r="D433" s="96"/>
      <c r="E433" s="96"/>
      <c r="F433" s="79"/>
    </row>
    <row r="434" spans="1:6" x14ac:dyDescent="0.2">
      <c r="A434" s="32"/>
      <c r="B434" s="32"/>
      <c r="C434" s="33"/>
      <c r="D434" s="95"/>
      <c r="E434" s="95"/>
      <c r="F434" s="36"/>
    </row>
    <row r="435" spans="1:6" x14ac:dyDescent="0.2">
      <c r="A435" s="32"/>
      <c r="B435" s="32"/>
      <c r="C435" s="37"/>
      <c r="D435" s="96"/>
      <c r="E435" s="96"/>
      <c r="F435" s="79"/>
    </row>
    <row r="436" spans="1:6" x14ac:dyDescent="0.2">
      <c r="A436" s="32"/>
      <c r="B436" s="32"/>
      <c r="C436" s="37"/>
      <c r="D436" s="96"/>
      <c r="E436" s="96"/>
      <c r="F436" s="79"/>
    </row>
    <row r="437" spans="1:6" x14ac:dyDescent="0.2">
      <c r="A437" s="32"/>
      <c r="B437" s="32"/>
      <c r="C437" s="37"/>
      <c r="D437" s="96"/>
      <c r="E437" s="96"/>
      <c r="F437" s="79"/>
    </row>
    <row r="438" spans="1:6" x14ac:dyDescent="0.2">
      <c r="A438" s="32"/>
      <c r="B438" s="32"/>
      <c r="C438" s="33"/>
      <c r="D438" s="95"/>
      <c r="E438" s="95"/>
      <c r="F438" s="36"/>
    </row>
    <row r="439" spans="1:6" x14ac:dyDescent="0.2">
      <c r="A439" s="32"/>
      <c r="B439" s="32"/>
      <c r="C439" s="33"/>
      <c r="D439" s="95"/>
      <c r="E439" s="95"/>
      <c r="F439" s="36"/>
    </row>
    <row r="440" spans="1:6" x14ac:dyDescent="0.2">
      <c r="A440" s="32"/>
      <c r="B440" s="32"/>
      <c r="C440" s="101"/>
      <c r="D440" s="96"/>
      <c r="E440" s="96"/>
      <c r="F440" s="79"/>
    </row>
    <row r="441" spans="1:6" x14ac:dyDescent="0.2">
      <c r="A441" s="32"/>
      <c r="B441" s="32"/>
      <c r="C441" s="101"/>
      <c r="D441" s="96"/>
      <c r="E441" s="96"/>
      <c r="F441" s="79"/>
    </row>
    <row r="442" spans="1:6" x14ac:dyDescent="0.2">
      <c r="A442" s="32"/>
      <c r="B442" s="32"/>
      <c r="C442" s="33"/>
      <c r="D442" s="95"/>
      <c r="E442" s="95"/>
      <c r="F442" s="36"/>
    </row>
    <row r="443" spans="1:6" x14ac:dyDescent="0.2">
      <c r="A443" s="32"/>
      <c r="B443" s="32"/>
      <c r="C443" s="101"/>
      <c r="D443" s="96"/>
      <c r="E443" s="96"/>
      <c r="F443" s="79"/>
    </row>
    <row r="444" spans="1:6" x14ac:dyDescent="0.2">
      <c r="A444" s="32"/>
      <c r="B444" s="32"/>
      <c r="C444" s="33"/>
      <c r="D444" s="95"/>
      <c r="E444" s="95"/>
      <c r="F444" s="36"/>
    </row>
    <row r="445" spans="1:6" x14ac:dyDescent="0.2">
      <c r="A445" s="32"/>
      <c r="B445" s="32"/>
      <c r="C445" s="33"/>
      <c r="D445" s="95"/>
      <c r="E445" s="95"/>
      <c r="F445" s="36"/>
    </row>
    <row r="446" spans="1:6" x14ac:dyDescent="0.2">
      <c r="A446" s="32"/>
      <c r="B446" s="32"/>
      <c r="C446" s="37"/>
      <c r="D446" s="96"/>
      <c r="E446" s="96"/>
      <c r="F446" s="79"/>
    </row>
    <row r="447" spans="1:6" x14ac:dyDescent="0.2">
      <c r="A447" s="32"/>
      <c r="B447" s="32"/>
      <c r="C447" s="37"/>
      <c r="D447" s="96"/>
      <c r="E447" s="96"/>
      <c r="F447" s="79"/>
    </row>
    <row r="448" spans="1:6" x14ac:dyDescent="0.2">
      <c r="A448" s="32"/>
      <c r="B448" s="32"/>
      <c r="C448" s="33"/>
      <c r="D448" s="95"/>
      <c r="E448" s="95"/>
      <c r="F448" s="36"/>
    </row>
    <row r="449" spans="1:6" x14ac:dyDescent="0.2">
      <c r="A449" s="32"/>
      <c r="B449" s="32"/>
      <c r="C449" s="33"/>
      <c r="D449" s="95"/>
      <c r="E449" s="95"/>
      <c r="F449" s="36"/>
    </row>
    <row r="450" spans="1:6" x14ac:dyDescent="0.2">
      <c r="A450" s="32"/>
      <c r="B450" s="32"/>
      <c r="C450" s="37"/>
      <c r="D450" s="96"/>
      <c r="E450" s="96"/>
      <c r="F450" s="79"/>
    </row>
    <row r="451" spans="1:6" x14ac:dyDescent="0.2">
      <c r="A451" s="32"/>
      <c r="B451" s="32"/>
      <c r="C451" s="37"/>
      <c r="D451" s="96"/>
      <c r="E451" s="96"/>
      <c r="F451" s="79"/>
    </row>
    <row r="452" spans="1:6" x14ac:dyDescent="0.2">
      <c r="A452" s="32"/>
      <c r="B452" s="32"/>
      <c r="C452" s="37"/>
      <c r="D452" s="96"/>
      <c r="E452" s="96"/>
      <c r="F452" s="79"/>
    </row>
    <row r="453" spans="1:6" x14ac:dyDescent="0.2">
      <c r="A453" s="32"/>
      <c r="B453" s="32"/>
      <c r="C453" s="33"/>
      <c r="D453" s="95"/>
      <c r="E453" s="95"/>
      <c r="F453" s="36"/>
    </row>
    <row r="454" spans="1:6" x14ac:dyDescent="0.2">
      <c r="A454" s="32"/>
      <c r="B454" s="32"/>
      <c r="C454" s="37"/>
      <c r="D454" s="96"/>
      <c r="E454" s="96"/>
      <c r="F454" s="79"/>
    </row>
    <row r="455" spans="1:6" x14ac:dyDescent="0.2">
      <c r="A455" s="32"/>
      <c r="B455" s="32"/>
      <c r="C455" s="33"/>
      <c r="D455" s="95"/>
      <c r="E455" s="95"/>
      <c r="F455" s="36"/>
    </row>
    <row r="456" spans="1:6" x14ac:dyDescent="0.2">
      <c r="A456" s="32"/>
      <c r="B456" s="32"/>
      <c r="C456" s="33"/>
      <c r="D456" s="95"/>
      <c r="E456" s="95"/>
      <c r="F456" s="36"/>
    </row>
    <row r="457" spans="1:6" x14ac:dyDescent="0.2">
      <c r="A457" s="32"/>
      <c r="B457" s="32"/>
      <c r="C457" s="37"/>
      <c r="D457" s="96"/>
      <c r="E457" s="96"/>
      <c r="F457" s="79"/>
    </row>
    <row r="458" spans="1:6" x14ac:dyDescent="0.2">
      <c r="A458" s="32"/>
      <c r="B458" s="32"/>
      <c r="C458" s="33"/>
      <c r="D458" s="95"/>
      <c r="E458" s="95"/>
      <c r="F458" s="36"/>
    </row>
    <row r="459" spans="1:6" x14ac:dyDescent="0.2">
      <c r="A459" s="32"/>
      <c r="B459" s="32"/>
      <c r="C459" s="33"/>
      <c r="D459" s="95"/>
      <c r="E459" s="95"/>
      <c r="F459" s="36"/>
    </row>
    <row r="460" spans="1:6" x14ac:dyDescent="0.2">
      <c r="A460" s="32"/>
      <c r="B460" s="32"/>
      <c r="C460" s="37"/>
      <c r="D460" s="96"/>
      <c r="E460" s="96"/>
      <c r="F460" s="79"/>
    </row>
    <row r="461" spans="1:6" x14ac:dyDescent="0.2">
      <c r="A461" s="32"/>
      <c r="B461" s="32"/>
      <c r="C461" s="33"/>
      <c r="D461" s="95"/>
      <c r="E461" s="95"/>
      <c r="F461" s="36"/>
    </row>
    <row r="462" spans="1:6" x14ac:dyDescent="0.2">
      <c r="A462" s="32"/>
      <c r="B462" s="32"/>
      <c r="C462" s="37"/>
      <c r="D462" s="96"/>
      <c r="E462" s="96"/>
      <c r="F462" s="79"/>
    </row>
    <row r="463" spans="1:6" x14ac:dyDescent="0.2">
      <c r="A463" s="32"/>
      <c r="B463" s="32"/>
      <c r="C463" s="33"/>
      <c r="D463" s="95"/>
      <c r="E463" s="95"/>
      <c r="F463" s="36"/>
    </row>
    <row r="464" spans="1:6" x14ac:dyDescent="0.2">
      <c r="A464" s="32"/>
      <c r="B464" s="32"/>
      <c r="C464" s="33"/>
      <c r="D464" s="95"/>
      <c r="E464" s="95"/>
      <c r="F464" s="36"/>
    </row>
    <row r="465" spans="1:6" x14ac:dyDescent="0.2">
      <c r="A465" s="32"/>
      <c r="B465" s="32"/>
      <c r="C465" s="37"/>
      <c r="D465" s="96"/>
      <c r="E465" s="96"/>
      <c r="F465" s="79"/>
    </row>
    <row r="466" spans="1:6" x14ac:dyDescent="0.2">
      <c r="A466" s="32"/>
      <c r="B466" s="32"/>
      <c r="C466" s="33"/>
      <c r="D466" s="95"/>
      <c r="E466" s="95"/>
      <c r="F466" s="36"/>
    </row>
    <row r="467" spans="1:6" x14ac:dyDescent="0.2">
      <c r="A467" s="32"/>
      <c r="B467" s="32"/>
      <c r="C467" s="33"/>
      <c r="D467" s="95"/>
      <c r="E467" s="95"/>
      <c r="F467" s="36"/>
    </row>
    <row r="468" spans="1:6" x14ac:dyDescent="0.2">
      <c r="A468" s="32"/>
      <c r="B468" s="32"/>
      <c r="C468" s="37"/>
      <c r="D468" s="96"/>
      <c r="E468" s="96"/>
      <c r="F468" s="79"/>
    </row>
    <row r="469" spans="1:6" x14ac:dyDescent="0.2">
      <c r="A469" s="32"/>
      <c r="B469" s="32"/>
      <c r="C469" s="33"/>
      <c r="D469" s="95"/>
      <c r="E469" s="95"/>
      <c r="F469" s="36"/>
    </row>
    <row r="470" spans="1:6" x14ac:dyDescent="0.2">
      <c r="A470" s="6"/>
      <c r="B470" s="6"/>
      <c r="C470" s="37"/>
      <c r="D470" s="96"/>
      <c r="E470" s="96"/>
      <c r="F470" s="79"/>
    </row>
    <row r="471" spans="1:6" x14ac:dyDescent="0.2">
      <c r="A471" s="6"/>
      <c r="B471" s="6"/>
      <c r="C471" s="37"/>
      <c r="D471" s="96"/>
      <c r="E471" s="96"/>
      <c r="F471" s="79"/>
    </row>
    <row r="472" spans="1:6" x14ac:dyDescent="0.2">
      <c r="A472" s="6"/>
      <c r="B472" s="6"/>
      <c r="C472" s="37"/>
      <c r="D472" s="96"/>
      <c r="E472" s="96"/>
      <c r="F472" s="79"/>
    </row>
    <row r="473" spans="1:6" x14ac:dyDescent="0.2">
      <c r="A473" s="6"/>
      <c r="B473" s="6"/>
      <c r="C473" s="33"/>
      <c r="D473" s="95"/>
      <c r="E473" s="95"/>
      <c r="F473" s="36"/>
    </row>
    <row r="474" spans="1:6" x14ac:dyDescent="0.2">
      <c r="A474" s="6"/>
      <c r="B474" s="6"/>
      <c r="C474" s="37"/>
      <c r="D474" s="96"/>
      <c r="E474" s="96"/>
      <c r="F474" s="79"/>
    </row>
    <row r="475" spans="1:6" x14ac:dyDescent="0.2">
      <c r="A475" s="6"/>
      <c r="B475" s="6"/>
      <c r="C475" s="33"/>
      <c r="D475" s="95"/>
      <c r="E475" s="95"/>
      <c r="F475" s="36"/>
    </row>
    <row r="476" spans="1:6" x14ac:dyDescent="0.2">
      <c r="A476" s="6"/>
      <c r="B476" s="6"/>
      <c r="C476" s="33"/>
      <c r="D476" s="95"/>
      <c r="E476" s="95"/>
      <c r="F476" s="36"/>
    </row>
    <row r="477" spans="1:6" x14ac:dyDescent="0.2">
      <c r="A477" s="6"/>
      <c r="B477" s="6"/>
      <c r="C477" s="37"/>
      <c r="D477" s="96"/>
      <c r="E477" s="96"/>
      <c r="F477" s="79"/>
    </row>
    <row r="478" spans="1:6" x14ac:dyDescent="0.2">
      <c r="A478" s="69"/>
      <c r="B478" s="69"/>
      <c r="C478" s="37"/>
      <c r="D478" s="96"/>
      <c r="E478" s="96"/>
      <c r="F478" s="79"/>
    </row>
    <row r="479" spans="1:6" x14ac:dyDescent="0.2">
      <c r="A479" s="69"/>
      <c r="B479" s="69"/>
      <c r="C479" s="33"/>
      <c r="D479" s="95"/>
      <c r="E479" s="95"/>
      <c r="F479" s="36"/>
    </row>
    <row r="480" spans="1:6" x14ac:dyDescent="0.2">
      <c r="A480" s="6"/>
      <c r="B480" s="6"/>
      <c r="C480" s="37"/>
      <c r="D480" s="96"/>
      <c r="E480" s="96"/>
      <c r="F480" s="79"/>
    </row>
    <row r="481" spans="1:6" x14ac:dyDescent="0.2">
      <c r="A481" s="6"/>
      <c r="B481" s="6"/>
      <c r="C481" s="33"/>
      <c r="D481" s="95"/>
      <c r="E481" s="95"/>
      <c r="F481" s="36"/>
    </row>
    <row r="482" spans="1:6" x14ac:dyDescent="0.2">
      <c r="A482" s="6"/>
      <c r="B482" s="6"/>
      <c r="C482" s="33"/>
      <c r="D482" s="95"/>
      <c r="E482" s="95"/>
      <c r="F482" s="36"/>
    </row>
    <row r="483" spans="1:6" x14ac:dyDescent="0.2">
      <c r="A483" s="6"/>
      <c r="B483" s="6"/>
      <c r="C483" s="37"/>
      <c r="D483" s="96"/>
      <c r="E483" s="96"/>
      <c r="F483" s="79"/>
    </row>
    <row r="484" spans="1:6" x14ac:dyDescent="0.2">
      <c r="A484" s="69"/>
      <c r="B484" s="69"/>
      <c r="C484" s="37"/>
      <c r="D484" s="96"/>
      <c r="E484" s="96"/>
      <c r="F484" s="79"/>
    </row>
    <row r="485" spans="1:6" x14ac:dyDescent="0.2">
      <c r="A485" s="69"/>
      <c r="B485" s="69"/>
      <c r="C485" s="37"/>
      <c r="D485" s="96"/>
      <c r="E485" s="96"/>
      <c r="F485" s="79"/>
    </row>
    <row r="486" spans="1:6" x14ac:dyDescent="0.2">
      <c r="A486" s="69"/>
      <c r="B486" s="69"/>
      <c r="C486" s="33"/>
      <c r="D486" s="95"/>
      <c r="E486" s="95"/>
      <c r="F486" s="36"/>
    </row>
    <row r="487" spans="1:6" x14ac:dyDescent="0.2">
      <c r="A487" s="6"/>
      <c r="B487" s="6"/>
      <c r="C487" s="37"/>
      <c r="D487" s="96"/>
      <c r="E487" s="96"/>
      <c r="F487" s="79"/>
    </row>
    <row r="488" spans="1:6" x14ac:dyDescent="0.2">
      <c r="A488" s="6"/>
      <c r="B488" s="6"/>
      <c r="C488" s="37"/>
      <c r="D488" s="96"/>
      <c r="E488" s="96"/>
      <c r="F488" s="79"/>
    </row>
    <row r="489" spans="1:6" x14ac:dyDescent="0.2">
      <c r="A489" s="6"/>
      <c r="B489" s="6"/>
      <c r="C489" s="37"/>
      <c r="D489" s="96"/>
      <c r="E489" s="96"/>
      <c r="F489" s="79"/>
    </row>
    <row r="490" spans="1:6" x14ac:dyDescent="0.2">
      <c r="A490" s="6"/>
      <c r="B490" s="6"/>
      <c r="C490" s="37"/>
      <c r="D490" s="96"/>
      <c r="E490" s="96"/>
      <c r="F490" s="79"/>
    </row>
    <row r="491" spans="1:6" x14ac:dyDescent="0.2">
      <c r="A491" s="6"/>
      <c r="B491" s="6"/>
      <c r="C491" s="37"/>
      <c r="D491" s="96"/>
      <c r="E491" s="96"/>
      <c r="F491" s="79"/>
    </row>
    <row r="492" spans="1:6" x14ac:dyDescent="0.2">
      <c r="A492" s="6"/>
      <c r="B492" s="6"/>
      <c r="C492" s="33"/>
      <c r="D492" s="95"/>
      <c r="E492" s="95"/>
      <c r="F492" s="36"/>
    </row>
    <row r="493" spans="1:6" x14ac:dyDescent="0.2">
      <c r="A493" s="6"/>
      <c r="B493" s="6"/>
      <c r="C493" s="37"/>
      <c r="D493" s="96"/>
      <c r="E493" s="96"/>
      <c r="F493" s="79"/>
    </row>
    <row r="494" spans="1:6" x14ac:dyDescent="0.2">
      <c r="A494" s="6"/>
      <c r="B494" s="6"/>
      <c r="C494" s="33"/>
      <c r="D494" s="95"/>
      <c r="E494" s="95"/>
      <c r="F494" s="36"/>
    </row>
    <row r="495" spans="1:6" x14ac:dyDescent="0.2">
      <c r="A495" s="6"/>
      <c r="B495" s="6"/>
      <c r="C495" s="37"/>
      <c r="D495" s="96"/>
      <c r="E495" s="96"/>
      <c r="F495" s="79"/>
    </row>
    <row r="496" spans="1:6" x14ac:dyDescent="0.2">
      <c r="A496" s="6"/>
      <c r="B496" s="6"/>
      <c r="C496" s="33"/>
      <c r="D496" s="95"/>
      <c r="E496" s="95"/>
      <c r="F496" s="36"/>
    </row>
    <row r="497" spans="1:6" x14ac:dyDescent="0.2">
      <c r="A497" s="6"/>
      <c r="B497" s="6"/>
      <c r="C497" s="33"/>
      <c r="D497" s="95"/>
      <c r="E497" s="95"/>
      <c r="F497" s="36"/>
    </row>
    <row r="498" spans="1:6" x14ac:dyDescent="0.2">
      <c r="A498" s="6"/>
      <c r="B498" s="6"/>
      <c r="C498" s="37"/>
      <c r="D498" s="96"/>
      <c r="E498" s="96"/>
      <c r="F498" s="79"/>
    </row>
    <row r="499" spans="1:6" x14ac:dyDescent="0.2">
      <c r="A499" s="32"/>
      <c r="B499" s="32"/>
      <c r="C499" s="37"/>
      <c r="D499" s="96"/>
      <c r="E499" s="96"/>
      <c r="F499" s="79"/>
    </row>
    <row r="500" spans="1:6" x14ac:dyDescent="0.2">
      <c r="A500" s="32"/>
      <c r="B500" s="32"/>
      <c r="C500" s="37"/>
      <c r="D500" s="96"/>
      <c r="E500" s="96"/>
      <c r="F500" s="79"/>
    </row>
    <row r="501" spans="1:6" x14ac:dyDescent="0.2">
      <c r="A501" s="32"/>
      <c r="B501" s="32"/>
      <c r="C501" s="33"/>
      <c r="D501" s="95"/>
      <c r="E501" s="95"/>
      <c r="F501" s="36"/>
    </row>
    <row r="502" spans="1:6" x14ac:dyDescent="0.2">
      <c r="A502" s="32"/>
      <c r="B502" s="32"/>
      <c r="C502" s="37"/>
      <c r="D502" s="96"/>
      <c r="E502" s="96"/>
      <c r="F502" s="79"/>
    </row>
    <row r="503" spans="1:6" x14ac:dyDescent="0.2">
      <c r="A503" s="32"/>
      <c r="B503" s="32"/>
      <c r="C503" s="37"/>
      <c r="D503" s="96"/>
      <c r="E503" s="96"/>
      <c r="F503" s="79"/>
    </row>
    <row r="504" spans="1:6" x14ac:dyDescent="0.2">
      <c r="A504" s="32"/>
      <c r="B504" s="32"/>
      <c r="C504" s="33"/>
      <c r="D504" s="95"/>
      <c r="E504" s="95"/>
      <c r="F504" s="36"/>
    </row>
    <row r="505" spans="1:6" x14ac:dyDescent="0.2">
      <c r="A505" s="32"/>
      <c r="B505" s="32"/>
      <c r="C505" s="37"/>
      <c r="D505" s="96"/>
      <c r="E505" s="96"/>
      <c r="F505" s="79"/>
    </row>
    <row r="506" spans="1:6" x14ac:dyDescent="0.2">
      <c r="A506" s="32"/>
      <c r="B506" s="32"/>
      <c r="C506" s="33"/>
      <c r="D506" s="95"/>
      <c r="E506" s="95"/>
      <c r="F506" s="36"/>
    </row>
    <row r="507" spans="1:6" x14ac:dyDescent="0.2">
      <c r="A507" s="32"/>
      <c r="B507" s="32"/>
      <c r="C507" s="37"/>
      <c r="D507" s="96"/>
      <c r="E507" s="96"/>
      <c r="F507" s="79"/>
    </row>
    <row r="508" spans="1:6" x14ac:dyDescent="0.2">
      <c r="A508" s="32"/>
      <c r="B508" s="32"/>
      <c r="C508" s="33"/>
      <c r="D508" s="95"/>
      <c r="E508" s="95"/>
      <c r="F508" s="36"/>
    </row>
    <row r="509" spans="1:6" x14ac:dyDescent="0.2">
      <c r="A509" s="32"/>
      <c r="B509" s="32"/>
      <c r="C509" s="33"/>
      <c r="D509" s="95"/>
      <c r="E509" s="95"/>
      <c r="F509" s="36"/>
    </row>
    <row r="510" spans="1:6" x14ac:dyDescent="0.2">
      <c r="A510" s="32"/>
      <c r="B510" s="32"/>
      <c r="C510" s="37"/>
      <c r="D510" s="96"/>
      <c r="E510" s="96"/>
      <c r="F510" s="79"/>
    </row>
    <row r="511" spans="1:6" x14ac:dyDescent="0.2">
      <c r="A511" s="32"/>
      <c r="B511" s="32"/>
      <c r="C511" s="33"/>
      <c r="D511" s="95"/>
      <c r="E511" s="95"/>
      <c r="F511" s="36"/>
    </row>
    <row r="512" spans="1:6" x14ac:dyDescent="0.2">
      <c r="A512" s="32"/>
      <c r="B512" s="32"/>
      <c r="C512" s="37"/>
      <c r="D512" s="96"/>
      <c r="E512" s="96"/>
      <c r="F512" s="79"/>
    </row>
    <row r="513" spans="1:6" x14ac:dyDescent="0.2">
      <c r="A513" s="32"/>
      <c r="B513" s="32"/>
      <c r="C513" s="33"/>
      <c r="D513" s="95"/>
      <c r="E513" s="95"/>
      <c r="F513" s="36"/>
    </row>
    <row r="514" spans="1:6" x14ac:dyDescent="0.2">
      <c r="A514" s="32"/>
      <c r="B514" s="32"/>
      <c r="C514" s="37"/>
      <c r="D514" s="96"/>
      <c r="E514" s="96"/>
      <c r="F514" s="79"/>
    </row>
    <row r="515" spans="1:6" x14ac:dyDescent="0.2">
      <c r="A515" s="32"/>
      <c r="B515" s="32"/>
      <c r="C515" s="33"/>
      <c r="D515" s="95"/>
      <c r="E515" s="95"/>
      <c r="F515" s="36"/>
    </row>
    <row r="516" spans="1:6" x14ac:dyDescent="0.2">
      <c r="A516" s="32"/>
      <c r="B516" s="32"/>
      <c r="C516" s="33"/>
      <c r="D516" s="95"/>
      <c r="E516" s="95"/>
      <c r="F516" s="36"/>
    </row>
    <row r="517" spans="1:6" x14ac:dyDescent="0.2">
      <c r="A517" s="32"/>
      <c r="B517" s="32"/>
      <c r="C517" s="37"/>
      <c r="D517" s="96"/>
      <c r="E517" s="96"/>
      <c r="F517" s="79"/>
    </row>
    <row r="518" spans="1:6" x14ac:dyDescent="0.2">
      <c r="A518" s="32"/>
      <c r="B518" s="32"/>
      <c r="C518" s="33"/>
      <c r="D518" s="95"/>
      <c r="E518" s="95"/>
      <c r="F518" s="36"/>
    </row>
    <row r="519" spans="1:6" x14ac:dyDescent="0.2">
      <c r="A519" s="32"/>
      <c r="B519" s="32"/>
      <c r="C519" s="37"/>
      <c r="D519" s="96"/>
      <c r="E519" s="96"/>
      <c r="F519" s="79"/>
    </row>
    <row r="520" spans="1:6" x14ac:dyDescent="0.2">
      <c r="A520" s="32"/>
      <c r="B520" s="32"/>
      <c r="C520" s="33"/>
      <c r="D520" s="95"/>
      <c r="E520" s="95"/>
      <c r="F520" s="36"/>
    </row>
    <row r="521" spans="1:6" x14ac:dyDescent="0.2">
      <c r="A521" s="32"/>
      <c r="B521" s="32"/>
      <c r="C521" s="69"/>
      <c r="D521" s="102"/>
      <c r="E521" s="103"/>
      <c r="F521" s="104"/>
    </row>
    <row r="522" spans="1:6" x14ac:dyDescent="0.2">
      <c r="A522" s="32"/>
      <c r="B522" s="32"/>
      <c r="C522" s="47"/>
      <c r="D522" s="87"/>
      <c r="E522" s="105"/>
      <c r="F522" s="88"/>
    </row>
    <row r="523" spans="1:6" x14ac:dyDescent="0.2">
      <c r="A523" s="32"/>
      <c r="B523" s="32"/>
      <c r="C523" s="106"/>
      <c r="D523" s="87"/>
      <c r="E523" s="105"/>
      <c r="F523" s="88"/>
    </row>
    <row r="524" spans="1:6" x14ac:dyDescent="0.2">
      <c r="A524" s="32"/>
      <c r="B524" s="32"/>
      <c r="C524" s="69"/>
      <c r="D524" s="102"/>
      <c r="E524" s="103"/>
      <c r="F524" s="104"/>
    </row>
    <row r="525" spans="1:6" x14ac:dyDescent="0.2">
      <c r="A525" s="32"/>
      <c r="B525" s="32"/>
      <c r="C525" s="106"/>
      <c r="D525" s="87"/>
      <c r="E525" s="105"/>
      <c r="F525" s="88"/>
    </row>
    <row r="526" spans="1:6" x14ac:dyDescent="0.2">
      <c r="A526" s="32"/>
      <c r="B526" s="32"/>
      <c r="C526" s="69"/>
      <c r="D526" s="102"/>
      <c r="E526" s="103"/>
      <c r="F526" s="104"/>
    </row>
    <row r="527" spans="1:6" x14ac:dyDescent="0.2">
      <c r="A527" s="32"/>
      <c r="B527" s="32"/>
      <c r="C527" s="47"/>
      <c r="D527" s="87"/>
      <c r="E527" s="105"/>
      <c r="F527" s="88"/>
    </row>
    <row r="528" spans="1:6" x14ac:dyDescent="0.2">
      <c r="A528" s="32"/>
      <c r="B528" s="32"/>
      <c r="C528" s="69"/>
      <c r="D528" s="102"/>
      <c r="E528" s="103"/>
      <c r="F528" s="104"/>
    </row>
    <row r="529" spans="1:6" x14ac:dyDescent="0.2">
      <c r="A529" s="32"/>
      <c r="B529" s="32"/>
      <c r="C529" s="47"/>
      <c r="D529" s="87"/>
      <c r="E529" s="105"/>
      <c r="F529" s="88"/>
    </row>
    <row r="530" spans="1:6" x14ac:dyDescent="0.2">
      <c r="A530" s="32"/>
      <c r="B530" s="32"/>
      <c r="C530" s="69"/>
      <c r="D530" s="103"/>
      <c r="E530" s="103"/>
      <c r="F530" s="104"/>
    </row>
    <row r="531" spans="1:6" x14ac:dyDescent="0.2">
      <c r="A531" s="32"/>
      <c r="B531" s="32"/>
      <c r="C531" s="69"/>
      <c r="D531" s="102"/>
      <c r="E531" s="103"/>
      <c r="F531" s="104"/>
    </row>
    <row r="532" spans="1:6" x14ac:dyDescent="0.2">
      <c r="A532" s="32"/>
      <c r="B532" s="32"/>
      <c r="C532" s="69"/>
      <c r="D532" s="103"/>
      <c r="E532" s="103"/>
      <c r="F532" s="104"/>
    </row>
    <row r="533" spans="1:6" x14ac:dyDescent="0.2">
      <c r="A533" s="32"/>
      <c r="B533" s="32"/>
    </row>
  </sheetData>
  <mergeCells count="35">
    <mergeCell ref="C161:C162"/>
    <mergeCell ref="D161:D162"/>
    <mergeCell ref="E161:E162"/>
    <mergeCell ref="F161:F162"/>
    <mergeCell ref="A198:A199"/>
    <mergeCell ref="J3:J4"/>
    <mergeCell ref="A112:C112"/>
    <mergeCell ref="A115:D115"/>
    <mergeCell ref="A117:A118"/>
    <mergeCell ref="B117:B118"/>
    <mergeCell ref="C117:C118"/>
    <mergeCell ref="D117:D118"/>
    <mergeCell ref="E117:E118"/>
    <mergeCell ref="F117:F118"/>
    <mergeCell ref="A3:A4"/>
    <mergeCell ref="C3:C4"/>
    <mergeCell ref="D3:D4"/>
    <mergeCell ref="E3:E4"/>
    <mergeCell ref="F3:F4"/>
    <mergeCell ref="H3:H4"/>
    <mergeCell ref="I3:I4"/>
    <mergeCell ref="A218:C218"/>
    <mergeCell ref="B198:B199"/>
    <mergeCell ref="C198:C199"/>
    <mergeCell ref="D198:D199"/>
    <mergeCell ref="E198:E199"/>
    <mergeCell ref="F198:F199"/>
    <mergeCell ref="A125:A126"/>
    <mergeCell ref="B125:B126"/>
    <mergeCell ref="C125:C126"/>
    <mergeCell ref="D125:D126"/>
    <mergeCell ref="E125:E126"/>
    <mergeCell ref="F125:F126"/>
    <mergeCell ref="A161:A162"/>
    <mergeCell ref="B161:B1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Kořistka Pavel</cp:lastModifiedBy>
  <cp:lastPrinted>2017-04-18T08:26:49Z</cp:lastPrinted>
  <dcterms:created xsi:type="dcterms:W3CDTF">2011-01-06T08:18:14Z</dcterms:created>
  <dcterms:modified xsi:type="dcterms:W3CDTF">2017-06-05T06:29:26Z</dcterms:modified>
</cp:coreProperties>
</file>