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2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3.xml" ContentType="application/vnd.openxmlformats-officedocument.spreadsheetml.work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4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omments3.xml" ContentType="application/vnd.openxmlformats-officedocument.spreadsheetml.comments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 tabRatio="843" firstSheet="1" activeTab="17"/>
  </bookViews>
  <sheets>
    <sheet name="data koláče" sheetId="8" state="hidden" r:id="rId1"/>
    <sheet name="Graf1 Příjmy" sheetId="9" r:id="rId2"/>
    <sheet name="Graf2 BV+KV" sheetId="18" r:id="rId3"/>
    <sheet name="Graf3 BV" sheetId="10" r:id="rId4"/>
    <sheet name="Graf4 KV" sheetId="11" r:id="rId5"/>
    <sheet name="data výdaje" sheetId="12" state="hidden" r:id="rId6"/>
    <sheet name="Graf1 BV" sheetId="14" r:id="rId7"/>
    <sheet name="Graf2 KV" sheetId="15" r:id="rId8"/>
    <sheet name="Graf3 BV + KV" sheetId="16" r:id="rId9"/>
    <sheet name="data MOb" sheetId="4" state="hidden" r:id="rId10"/>
    <sheet name="Graf NIV MOb" sheetId="5" r:id="rId11"/>
    <sheet name="Graf INV MOb" sheetId="6" r:id="rId12"/>
    <sheet name="data daně" sheetId="23" state="hidden" r:id="rId13"/>
    <sheet name="Graf1 daně" sheetId="17" r:id="rId14"/>
    <sheet name="2019 (měs)" sheetId="24" state="hidden" r:id="rId15"/>
    <sheet name="Grafy2019 (měs)" sheetId="29" r:id="rId16"/>
    <sheet name="2019 (kum)" sheetId="26" state="hidden" r:id="rId17"/>
    <sheet name="Grafy2019 (kum)" sheetId="27" r:id="rId18"/>
  </sheets>
  <definedNames>
    <definedName name="_xlcn.WorksheetConnection_List1A7B91" hidden="1">'data MOb'!$A$7:$B$9</definedName>
    <definedName name="_xlnm.Print_Area" localSheetId="16">'2019 (kum)'!$A$1:$M$40</definedName>
    <definedName name="_xlnm.Print_Area" localSheetId="14">'2019 (měs)'!$A$1:$M$40</definedName>
    <definedName name="_xlnm.Print_Area" localSheetId="9">'data MOb'!$A$1:$E$12</definedName>
    <definedName name="_xlnm.Print_Area" localSheetId="5">'data výdaje'!$A$1:$L$23</definedName>
    <definedName name="_xlnm.Print_Area" localSheetId="17">'Grafy2019 (kum)'!$A$1:$T$96</definedName>
    <definedName name="_xlnm.Print_Area" localSheetId="15">'Grafy2019 (měs)'!$A$1:$T$96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55" i="8" l="1"/>
  <c r="J53" i="8"/>
  <c r="F59" i="8"/>
  <c r="F65" i="8" s="1"/>
  <c r="I40" i="26" l="1"/>
  <c r="C39" i="26"/>
  <c r="C38" i="26"/>
  <c r="C37" i="26"/>
  <c r="C35" i="26"/>
  <c r="I34" i="26"/>
  <c r="C34" i="26"/>
  <c r="C33" i="26"/>
  <c r="C31" i="26"/>
  <c r="I30" i="26"/>
  <c r="C30" i="26"/>
  <c r="C29" i="26"/>
  <c r="B29" i="26"/>
  <c r="B30" i="26" s="1"/>
  <c r="I28" i="26"/>
  <c r="I38" i="26" s="1"/>
  <c r="F28" i="26"/>
  <c r="F39" i="26" s="1"/>
  <c r="E28" i="26"/>
  <c r="E29" i="26" s="1"/>
  <c r="D28" i="26"/>
  <c r="C28" i="26"/>
  <c r="C36" i="26" s="1"/>
  <c r="B28" i="26"/>
  <c r="F19" i="26"/>
  <c r="F17" i="26"/>
  <c r="F15" i="26"/>
  <c r="F13" i="26"/>
  <c r="F11" i="26"/>
  <c r="F9" i="26"/>
  <c r="E9" i="26"/>
  <c r="E10" i="26" s="1"/>
  <c r="M8" i="26"/>
  <c r="L8" i="26"/>
  <c r="L19" i="26" s="1"/>
  <c r="K8" i="26"/>
  <c r="K9" i="26" s="1"/>
  <c r="I8" i="26"/>
  <c r="I18" i="26" s="1"/>
  <c r="H8" i="26"/>
  <c r="H9" i="26" s="1"/>
  <c r="F8" i="26"/>
  <c r="F18" i="26" s="1"/>
  <c r="E8" i="26"/>
  <c r="G8" i="26" s="1"/>
  <c r="C8" i="26"/>
  <c r="C19" i="26" s="1"/>
  <c r="B8" i="26"/>
  <c r="B9" i="26" s="1"/>
  <c r="I40" i="24"/>
  <c r="I28" i="24" s="1"/>
  <c r="F39" i="24"/>
  <c r="E39" i="24"/>
  <c r="B39" i="24"/>
  <c r="E38" i="24"/>
  <c r="B38" i="24"/>
  <c r="F37" i="24"/>
  <c r="E37" i="24"/>
  <c r="B37" i="24"/>
  <c r="F36" i="24"/>
  <c r="E36" i="24"/>
  <c r="B36" i="24"/>
  <c r="F35" i="24"/>
  <c r="E35" i="24"/>
  <c r="E34" i="24"/>
  <c r="B34" i="24"/>
  <c r="F33" i="24"/>
  <c r="E33" i="24"/>
  <c r="B33" i="24"/>
  <c r="E32" i="24"/>
  <c r="B32" i="24"/>
  <c r="F31" i="24"/>
  <c r="E31" i="24"/>
  <c r="B31" i="24"/>
  <c r="E30" i="24"/>
  <c r="B30" i="24"/>
  <c r="F29" i="24"/>
  <c r="E29" i="24"/>
  <c r="B29" i="24"/>
  <c r="F28" i="24"/>
  <c r="F34" i="24" s="1"/>
  <c r="E28" i="24"/>
  <c r="G39" i="24" s="1"/>
  <c r="D28" i="24"/>
  <c r="C28" i="24"/>
  <c r="C37" i="24" s="1"/>
  <c r="B28" i="24"/>
  <c r="K19" i="24"/>
  <c r="H19" i="24"/>
  <c r="E19" i="24"/>
  <c r="H39" i="24" s="1"/>
  <c r="B19" i="24"/>
  <c r="K18" i="24"/>
  <c r="I18" i="24"/>
  <c r="H18" i="24"/>
  <c r="H38" i="24" s="1"/>
  <c r="E18" i="24"/>
  <c r="B18" i="24"/>
  <c r="K17" i="24"/>
  <c r="H17" i="24"/>
  <c r="E17" i="24"/>
  <c r="B17" i="24"/>
  <c r="H37" i="24" s="1"/>
  <c r="K16" i="24"/>
  <c r="I16" i="24"/>
  <c r="H16" i="24"/>
  <c r="H36" i="24" s="1"/>
  <c r="E16" i="24"/>
  <c r="B16" i="24"/>
  <c r="K15" i="24"/>
  <c r="F15" i="24"/>
  <c r="E15" i="24"/>
  <c r="B15" i="24"/>
  <c r="H35" i="24" s="1"/>
  <c r="K14" i="24"/>
  <c r="H14" i="24"/>
  <c r="F14" i="24"/>
  <c r="E14" i="24"/>
  <c r="B14" i="24"/>
  <c r="H34" i="24" s="1"/>
  <c r="K13" i="24"/>
  <c r="F13" i="24"/>
  <c r="E13" i="24"/>
  <c r="B13" i="24"/>
  <c r="K12" i="24"/>
  <c r="I12" i="24"/>
  <c r="F12" i="24"/>
  <c r="E12" i="24"/>
  <c r="G14" i="24" s="1"/>
  <c r="B12" i="24"/>
  <c r="K11" i="24"/>
  <c r="I11" i="24"/>
  <c r="E11" i="24"/>
  <c r="B11" i="24"/>
  <c r="H31" i="24" s="1"/>
  <c r="K10" i="24"/>
  <c r="H10" i="24"/>
  <c r="E10" i="24"/>
  <c r="H30" i="24" s="1"/>
  <c r="B10" i="24"/>
  <c r="K9" i="24"/>
  <c r="I9" i="24"/>
  <c r="H9" i="24"/>
  <c r="J13" i="24" s="1"/>
  <c r="E9" i="24"/>
  <c r="B9" i="24"/>
  <c r="H29" i="24" s="1"/>
  <c r="L8" i="24"/>
  <c r="L19" i="24" s="1"/>
  <c r="K8" i="24"/>
  <c r="I8" i="24"/>
  <c r="I13" i="24" s="1"/>
  <c r="H8" i="24"/>
  <c r="G8" i="24"/>
  <c r="F8" i="24"/>
  <c r="F18" i="24" s="1"/>
  <c r="E8" i="24"/>
  <c r="G18" i="24" s="1"/>
  <c r="D8" i="24"/>
  <c r="C8" i="24"/>
  <c r="C15" i="24" s="1"/>
  <c r="B8" i="24"/>
  <c r="N6" i="23"/>
  <c r="E15" i="23"/>
  <c r="T14" i="23"/>
  <c r="T15" i="23" s="1"/>
  <c r="S14" i="23"/>
  <c r="S15" i="23" s="1"/>
  <c r="Q14" i="23"/>
  <c r="Q15" i="23" s="1"/>
  <c r="P14" i="23"/>
  <c r="P15" i="23" s="1"/>
  <c r="O14" i="23"/>
  <c r="M14" i="23"/>
  <c r="M15" i="23" s="1"/>
  <c r="L14" i="23"/>
  <c r="L15" i="23" s="1"/>
  <c r="K14" i="23"/>
  <c r="J14" i="23"/>
  <c r="K15" i="23" s="1"/>
  <c r="I14" i="23"/>
  <c r="I15" i="23" s="1"/>
  <c r="H14" i="23"/>
  <c r="G14" i="23"/>
  <c r="H15" i="23" s="1"/>
  <c r="F14" i="23"/>
  <c r="F15" i="23" s="1"/>
  <c r="E14" i="23"/>
  <c r="D14" i="23"/>
  <c r="D15" i="23" s="1"/>
  <c r="C14" i="23"/>
  <c r="T13" i="23"/>
  <c r="S13" i="23"/>
  <c r="R13" i="23"/>
  <c r="Q13" i="23"/>
  <c r="P13" i="23"/>
  <c r="M13" i="23"/>
  <c r="L13" i="23"/>
  <c r="K13" i="23"/>
  <c r="J13" i="23"/>
  <c r="I13" i="23"/>
  <c r="H13" i="23"/>
  <c r="G13" i="23"/>
  <c r="F13" i="23"/>
  <c r="E13" i="23"/>
  <c r="D13" i="23"/>
  <c r="N12" i="23"/>
  <c r="O13" i="23" s="1"/>
  <c r="T11" i="23"/>
  <c r="S11" i="23"/>
  <c r="R11" i="23"/>
  <c r="Q11" i="23"/>
  <c r="P11" i="23"/>
  <c r="M11" i="23"/>
  <c r="L11" i="23"/>
  <c r="K11" i="23"/>
  <c r="J11" i="23"/>
  <c r="I11" i="23"/>
  <c r="H11" i="23"/>
  <c r="G11" i="23"/>
  <c r="F11" i="23"/>
  <c r="E11" i="23"/>
  <c r="D11" i="23"/>
  <c r="N10" i="23"/>
  <c r="O11" i="23" s="1"/>
  <c r="T9" i="23"/>
  <c r="R9" i="23"/>
  <c r="Q9" i="23"/>
  <c r="P9" i="23"/>
  <c r="M9" i="23"/>
  <c r="L9" i="23"/>
  <c r="K9" i="23"/>
  <c r="J9" i="23"/>
  <c r="I9" i="23"/>
  <c r="H9" i="23"/>
  <c r="G9" i="23"/>
  <c r="F9" i="23"/>
  <c r="E9" i="23"/>
  <c r="D9" i="23"/>
  <c r="R8" i="23"/>
  <c r="S9" i="23" s="1"/>
  <c r="N8" i="23"/>
  <c r="O9" i="23" s="1"/>
  <c r="T7" i="23"/>
  <c r="R7" i="23"/>
  <c r="Q7" i="23"/>
  <c r="P7" i="23"/>
  <c r="O7" i="23"/>
  <c r="M7" i="23"/>
  <c r="L7" i="23"/>
  <c r="K7" i="23"/>
  <c r="J7" i="23"/>
  <c r="I7" i="23"/>
  <c r="H7" i="23"/>
  <c r="G7" i="23"/>
  <c r="F7" i="23"/>
  <c r="E7" i="23"/>
  <c r="D7" i="23"/>
  <c r="R6" i="23"/>
  <c r="S7" i="23" s="1"/>
  <c r="N7" i="23"/>
  <c r="T5" i="23"/>
  <c r="R5" i="23"/>
  <c r="Q5" i="23"/>
  <c r="P5" i="23"/>
  <c r="M5" i="23"/>
  <c r="L5" i="23"/>
  <c r="K5" i="23"/>
  <c r="J5" i="23"/>
  <c r="I5" i="23"/>
  <c r="H5" i="23"/>
  <c r="G5" i="23"/>
  <c r="F5" i="23"/>
  <c r="E5" i="23"/>
  <c r="D5" i="23"/>
  <c r="R4" i="23"/>
  <c r="R14" i="23" s="1"/>
  <c r="R15" i="23" s="1"/>
  <c r="N4" i="23"/>
  <c r="O5" i="23" s="1"/>
  <c r="D31" i="24" l="1"/>
  <c r="M9" i="26"/>
  <c r="K10" i="26"/>
  <c r="D19" i="24"/>
  <c r="H29" i="26"/>
  <c r="J29" i="26" s="1"/>
  <c r="K29" i="26" s="1"/>
  <c r="B10" i="26"/>
  <c r="E30" i="26"/>
  <c r="G29" i="26"/>
  <c r="B31" i="26"/>
  <c r="D30" i="26"/>
  <c r="I38" i="24"/>
  <c r="I33" i="24"/>
  <c r="I29" i="24"/>
  <c r="I37" i="24"/>
  <c r="I32" i="24"/>
  <c r="I36" i="24"/>
  <c r="I31" i="24"/>
  <c r="I39" i="24"/>
  <c r="I35" i="24"/>
  <c r="I34" i="24"/>
  <c r="I30" i="24"/>
  <c r="E11" i="26"/>
  <c r="H10" i="26"/>
  <c r="J9" i="26"/>
  <c r="L10" i="24"/>
  <c r="M8" i="24"/>
  <c r="M10" i="24"/>
  <c r="L13" i="24"/>
  <c r="M13" i="24" s="1"/>
  <c r="C29" i="24"/>
  <c r="D29" i="24" s="1"/>
  <c r="G31" i="24"/>
  <c r="C33" i="24"/>
  <c r="D37" i="24"/>
  <c r="J8" i="26"/>
  <c r="D29" i="26"/>
  <c r="F32" i="26"/>
  <c r="F36" i="26"/>
  <c r="L15" i="24"/>
  <c r="M15" i="24" s="1"/>
  <c r="L17" i="24"/>
  <c r="M17" i="24" s="1"/>
  <c r="J11" i="24"/>
  <c r="C13" i="24"/>
  <c r="D15" i="24"/>
  <c r="M19" i="24"/>
  <c r="J9" i="24"/>
  <c r="F10" i="24"/>
  <c r="G10" i="24" s="1"/>
  <c r="G12" i="24"/>
  <c r="D13" i="24"/>
  <c r="I14" i="24"/>
  <c r="J16" i="24"/>
  <c r="F17" i="24"/>
  <c r="G17" i="24" s="1"/>
  <c r="J18" i="24"/>
  <c r="F19" i="24"/>
  <c r="G19" i="24" s="1"/>
  <c r="B20" i="24"/>
  <c r="F32" i="24"/>
  <c r="D33" i="24"/>
  <c r="G36" i="24"/>
  <c r="C38" i="24"/>
  <c r="D38" i="24" s="1"/>
  <c r="G9" i="26"/>
  <c r="C10" i="26"/>
  <c r="C12" i="26"/>
  <c r="C14" i="26"/>
  <c r="C16" i="26"/>
  <c r="C18" i="26"/>
  <c r="G28" i="26"/>
  <c r="I31" i="26"/>
  <c r="I35" i="26"/>
  <c r="I39" i="26"/>
  <c r="C11" i="24"/>
  <c r="D11" i="24" s="1"/>
  <c r="C16" i="24"/>
  <c r="C18" i="24"/>
  <c r="D18" i="24" s="1"/>
  <c r="E20" i="24"/>
  <c r="G28" i="24"/>
  <c r="C30" i="24"/>
  <c r="D30" i="24" s="1"/>
  <c r="G32" i="24"/>
  <c r="C34" i="24"/>
  <c r="D8" i="26"/>
  <c r="L10" i="26"/>
  <c r="L12" i="26"/>
  <c r="L14" i="26"/>
  <c r="L16" i="26"/>
  <c r="L18" i="26"/>
  <c r="H28" i="26"/>
  <c r="J28" i="26" s="1"/>
  <c r="K28" i="26" s="1"/>
  <c r="F29" i="26"/>
  <c r="F33" i="26"/>
  <c r="F37" i="26"/>
  <c r="L9" i="24"/>
  <c r="C14" i="24"/>
  <c r="D14" i="24" s="1"/>
  <c r="G15" i="24"/>
  <c r="L16" i="24"/>
  <c r="L18" i="24"/>
  <c r="H28" i="24"/>
  <c r="H32" i="24"/>
  <c r="D34" i="24"/>
  <c r="C35" i="24"/>
  <c r="D35" i="24" s="1"/>
  <c r="G37" i="24"/>
  <c r="C39" i="24"/>
  <c r="I9" i="26"/>
  <c r="I11" i="26"/>
  <c r="I13" i="26"/>
  <c r="I15" i="26"/>
  <c r="I17" i="26"/>
  <c r="I19" i="26"/>
  <c r="I32" i="26"/>
  <c r="I36" i="26"/>
  <c r="C9" i="24"/>
  <c r="D9" i="24" s="1"/>
  <c r="J14" i="24"/>
  <c r="D16" i="24"/>
  <c r="H20" i="24"/>
  <c r="M9" i="24"/>
  <c r="I10" i="24"/>
  <c r="J10" i="24" s="1"/>
  <c r="G13" i="24"/>
  <c r="L14" i="24"/>
  <c r="I15" i="24"/>
  <c r="M16" i="24"/>
  <c r="I17" i="24"/>
  <c r="J17" i="24" s="1"/>
  <c r="M18" i="24"/>
  <c r="I19" i="24"/>
  <c r="J19" i="24" s="1"/>
  <c r="K20" i="24"/>
  <c r="G29" i="24"/>
  <c r="C31" i="24"/>
  <c r="G33" i="24"/>
  <c r="F38" i="24"/>
  <c r="D39" i="24"/>
  <c r="B40" i="24"/>
  <c r="F10" i="26"/>
  <c r="G10" i="26" s="1"/>
  <c r="F12" i="26"/>
  <c r="F14" i="26"/>
  <c r="F16" i="26"/>
  <c r="F30" i="26"/>
  <c r="F34" i="26"/>
  <c r="F38" i="26"/>
  <c r="L11" i="24"/>
  <c r="M11" i="24" s="1"/>
  <c r="J12" i="24"/>
  <c r="J8" i="24"/>
  <c r="F9" i="24"/>
  <c r="G9" i="24" s="1"/>
  <c r="F11" i="24"/>
  <c r="G11" i="24" s="1"/>
  <c r="C12" i="24"/>
  <c r="D12" i="24" s="1"/>
  <c r="L12" i="24"/>
  <c r="M12" i="24" s="1"/>
  <c r="M14" i="24"/>
  <c r="J15" i="24"/>
  <c r="F16" i="24"/>
  <c r="G16" i="24" s="1"/>
  <c r="F30" i="24"/>
  <c r="H33" i="24"/>
  <c r="C36" i="24"/>
  <c r="G38" i="24"/>
  <c r="E40" i="24"/>
  <c r="C9" i="26"/>
  <c r="D9" i="26" s="1"/>
  <c r="C11" i="26"/>
  <c r="C13" i="26"/>
  <c r="C15" i="26"/>
  <c r="C17" i="26"/>
  <c r="I29" i="26"/>
  <c r="C32" i="26"/>
  <c r="I33" i="26"/>
  <c r="I37" i="26"/>
  <c r="C10" i="24"/>
  <c r="D10" i="24" s="1"/>
  <c r="C17" i="24"/>
  <c r="D17" i="24" s="1"/>
  <c r="C19" i="24"/>
  <c r="G30" i="24"/>
  <c r="C32" i="24"/>
  <c r="D32" i="24" s="1"/>
  <c r="G34" i="24"/>
  <c r="D36" i="24"/>
  <c r="L9" i="26"/>
  <c r="L11" i="26"/>
  <c r="L13" i="26"/>
  <c r="L15" i="26"/>
  <c r="L17" i="26"/>
  <c r="F31" i="26"/>
  <c r="F35" i="26"/>
  <c r="G35" i="24"/>
  <c r="I10" i="26"/>
  <c r="I12" i="26"/>
  <c r="I14" i="26"/>
  <c r="I16" i="26"/>
  <c r="N14" i="23"/>
  <c r="N15" i="23" s="1"/>
  <c r="N9" i="23"/>
  <c r="G15" i="23"/>
  <c r="S5" i="23"/>
  <c r="N11" i="23"/>
  <c r="N5" i="23"/>
  <c r="J15" i="23"/>
  <c r="N13" i="23"/>
  <c r="E31" i="26" l="1"/>
  <c r="G30" i="26"/>
  <c r="E12" i="26"/>
  <c r="G11" i="26"/>
  <c r="J33" i="24"/>
  <c r="K33" i="24" s="1"/>
  <c r="J29" i="24"/>
  <c r="K29" i="24" s="1"/>
  <c r="J37" i="24"/>
  <c r="K37" i="24" s="1"/>
  <c r="J32" i="24"/>
  <c r="K32" i="24" s="1"/>
  <c r="J28" i="24"/>
  <c r="K28" i="24" s="1"/>
  <c r="J36" i="24"/>
  <c r="K36" i="24" s="1"/>
  <c r="J31" i="24"/>
  <c r="K31" i="24" s="1"/>
  <c r="J39" i="24"/>
  <c r="K39" i="24" s="1"/>
  <c r="J35" i="24"/>
  <c r="K35" i="24" s="1"/>
  <c r="J34" i="24"/>
  <c r="K34" i="24" s="1"/>
  <c r="J30" i="24"/>
  <c r="K30" i="24" s="1"/>
  <c r="J38" i="24"/>
  <c r="K38" i="24" s="1"/>
  <c r="B32" i="26"/>
  <c r="D31" i="26"/>
  <c r="H11" i="26"/>
  <c r="J10" i="26"/>
  <c r="K11" i="26"/>
  <c r="M10" i="26"/>
  <c r="H30" i="26"/>
  <c r="J30" i="26" s="1"/>
  <c r="K30" i="26" s="1"/>
  <c r="B11" i="26"/>
  <c r="D10" i="26"/>
  <c r="H40" i="24"/>
  <c r="O15" i="23"/>
  <c r="H12" i="26" l="1"/>
  <c r="J11" i="26"/>
  <c r="E13" i="26"/>
  <c r="G12" i="26"/>
  <c r="B33" i="26"/>
  <c r="D32" i="26"/>
  <c r="E32" i="26"/>
  <c r="G31" i="26"/>
  <c r="D11" i="26"/>
  <c r="H31" i="26"/>
  <c r="J31" i="26" s="1"/>
  <c r="K31" i="26" s="1"/>
  <c r="B12" i="26"/>
  <c r="M11" i="26"/>
  <c r="K12" i="26"/>
  <c r="K13" i="26" l="1"/>
  <c r="M12" i="26"/>
  <c r="B13" i="26"/>
  <c r="H32" i="26"/>
  <c r="J32" i="26" s="1"/>
  <c r="K32" i="26" s="1"/>
  <c r="D12" i="26"/>
  <c r="E14" i="26"/>
  <c r="G13" i="26"/>
  <c r="H13" i="26"/>
  <c r="J12" i="26"/>
  <c r="E33" i="26"/>
  <c r="G32" i="26"/>
  <c r="B34" i="26"/>
  <c r="D33" i="26"/>
  <c r="D13" i="26" l="1"/>
  <c r="H33" i="26"/>
  <c r="J33" i="26" s="1"/>
  <c r="K33" i="26" s="1"/>
  <c r="B14" i="26"/>
  <c r="E34" i="26"/>
  <c r="G33" i="26"/>
  <c r="M13" i="26"/>
  <c r="K14" i="26"/>
  <c r="H14" i="26"/>
  <c r="J13" i="26"/>
  <c r="E15" i="26"/>
  <c r="G14" i="26"/>
  <c r="B35" i="26"/>
  <c r="D34" i="26"/>
  <c r="B36" i="26" l="1"/>
  <c r="D35" i="26"/>
  <c r="H15" i="26"/>
  <c r="J14" i="26"/>
  <c r="E35" i="26"/>
  <c r="G34" i="26"/>
  <c r="H34" i="26"/>
  <c r="J34" i="26" s="1"/>
  <c r="K34" i="26" s="1"/>
  <c r="B15" i="26"/>
  <c r="D14" i="26"/>
  <c r="E16" i="26"/>
  <c r="G15" i="26"/>
  <c r="K15" i="26"/>
  <c r="M14" i="26"/>
  <c r="M15" i="26" l="1"/>
  <c r="K16" i="26"/>
  <c r="B37" i="26"/>
  <c r="D36" i="26"/>
  <c r="D15" i="26"/>
  <c r="H35" i="26"/>
  <c r="J35" i="26" s="1"/>
  <c r="K35" i="26" s="1"/>
  <c r="B16" i="26"/>
  <c r="E36" i="26"/>
  <c r="G35" i="26"/>
  <c r="H16" i="26"/>
  <c r="J15" i="26"/>
  <c r="E17" i="26"/>
  <c r="G16" i="26"/>
  <c r="B38" i="26" l="1"/>
  <c r="D37" i="26"/>
  <c r="K17" i="26"/>
  <c r="M16" i="26"/>
  <c r="E37" i="26"/>
  <c r="G36" i="26"/>
  <c r="E18" i="26"/>
  <c r="G17" i="26"/>
  <c r="B17" i="26"/>
  <c r="H36" i="26"/>
  <c r="J36" i="26" s="1"/>
  <c r="K36" i="26" s="1"/>
  <c r="D16" i="26"/>
  <c r="H17" i="26"/>
  <c r="J16" i="26"/>
  <c r="E38" i="26" l="1"/>
  <c r="G37" i="26"/>
  <c r="D17" i="26"/>
  <c r="H37" i="26"/>
  <c r="J37" i="26" s="1"/>
  <c r="K37" i="26" s="1"/>
  <c r="B18" i="26"/>
  <c r="B39" i="26"/>
  <c r="D38" i="26"/>
  <c r="H18" i="26"/>
  <c r="J17" i="26"/>
  <c r="M17" i="26"/>
  <c r="K18" i="26"/>
  <c r="E19" i="26"/>
  <c r="G18" i="26"/>
  <c r="B40" i="26" l="1"/>
  <c r="D39" i="26"/>
  <c r="E39" i="26"/>
  <c r="G38" i="26"/>
  <c r="H19" i="26"/>
  <c r="J18" i="26"/>
  <c r="H38" i="26"/>
  <c r="J38" i="26" s="1"/>
  <c r="K38" i="26" s="1"/>
  <c r="B19" i="26"/>
  <c r="D18" i="26"/>
  <c r="E20" i="26"/>
  <c r="G19" i="26"/>
  <c r="K19" i="26"/>
  <c r="M18" i="26"/>
  <c r="J19" i="26" l="1"/>
  <c r="H20" i="26"/>
  <c r="M19" i="26"/>
  <c r="K20" i="26"/>
  <c r="G39" i="26"/>
  <c r="E40" i="26"/>
  <c r="D19" i="26"/>
  <c r="H39" i="26"/>
  <c r="J39" i="26" s="1"/>
  <c r="K39" i="26" s="1"/>
  <c r="B20" i="26"/>
  <c r="H40" i="26" l="1"/>
  <c r="E12" i="4" l="1"/>
  <c r="C12" i="4"/>
  <c r="L5" i="12"/>
  <c r="K5" i="12"/>
  <c r="L12" i="12" s="1"/>
  <c r="K21" i="12"/>
  <c r="K6" i="12" s="1"/>
  <c r="J5" i="12" l="1"/>
  <c r="K12" i="12" s="1"/>
  <c r="J21" i="12"/>
  <c r="J6" i="12" s="1"/>
  <c r="I12" i="12"/>
  <c r="I5" i="12"/>
  <c r="J12" i="12" s="1"/>
  <c r="I6" i="12"/>
  <c r="I21" i="12"/>
  <c r="H5" i="12"/>
  <c r="H21" i="12"/>
  <c r="H6" i="12" s="1"/>
  <c r="G5" i="12"/>
  <c r="G21" i="12"/>
  <c r="G6" i="12" s="1"/>
  <c r="F5" i="12"/>
  <c r="F12" i="12" s="1"/>
  <c r="F21" i="12"/>
  <c r="F6" i="12" s="1"/>
  <c r="E12" i="12"/>
  <c r="E5" i="12"/>
  <c r="E21" i="12"/>
  <c r="E6" i="12" s="1"/>
  <c r="D6" i="12"/>
  <c r="D5" i="12"/>
  <c r="D21" i="12"/>
  <c r="C21" i="12"/>
  <c r="C6" i="12" s="1"/>
  <c r="B21" i="12"/>
  <c r="C5" i="12"/>
  <c r="G13" i="12" l="1"/>
  <c r="J13" i="12"/>
  <c r="K13" i="12"/>
  <c r="D13" i="12"/>
  <c r="H13" i="12"/>
  <c r="J15" i="12"/>
  <c r="E13" i="12"/>
  <c r="F13" i="12"/>
  <c r="H12" i="12"/>
  <c r="I13" i="12"/>
  <c r="C8" i="12"/>
  <c r="G12" i="12"/>
  <c r="K14" i="12"/>
  <c r="L14" i="12"/>
  <c r="K15" i="12"/>
  <c r="I8" i="12"/>
  <c r="I10" i="12" s="1"/>
  <c r="J14" i="12"/>
  <c r="D12" i="12"/>
  <c r="L21" i="12"/>
  <c r="L22" i="12" l="1"/>
  <c r="L6" i="12"/>
  <c r="I9" i="12"/>
  <c r="C9" i="12"/>
  <c r="C10" i="12"/>
  <c r="A59" i="8"/>
  <c r="A65" i="8" s="1"/>
  <c r="L13" i="12" l="1"/>
  <c r="L15" i="12"/>
  <c r="L8" i="12"/>
  <c r="L10" i="12" s="1"/>
  <c r="G41" i="8"/>
  <c r="E41" i="8"/>
  <c r="C41" i="8"/>
  <c r="L9" i="12" l="1"/>
  <c r="L11" i="12" s="1"/>
  <c r="L23" i="12"/>
  <c r="E19" i="8"/>
  <c r="E21" i="8"/>
  <c r="E43" i="8" l="1"/>
  <c r="F57" i="8" s="1"/>
  <c r="E35" i="8"/>
  <c r="F55" i="8"/>
  <c r="F53" i="8"/>
  <c r="E37" i="8"/>
  <c r="E39" i="8"/>
  <c r="E45" i="8"/>
  <c r="E23" i="8"/>
  <c r="E25" i="8"/>
  <c r="F61" i="8" s="1"/>
  <c r="E17" i="8"/>
  <c r="A27" i="8"/>
  <c r="E27" i="8" s="1"/>
  <c r="F63" i="8" s="1"/>
  <c r="E5" i="8"/>
  <c r="E9" i="8"/>
  <c r="E3" i="8"/>
  <c r="A7" i="8"/>
  <c r="E7" i="8" s="1"/>
  <c r="C3" i="8"/>
  <c r="E29" i="8" l="1"/>
  <c r="E11" i="8"/>
  <c r="K22" i="12" l="1"/>
  <c r="A61" i="8" l="1"/>
  <c r="E61" i="8" s="1"/>
  <c r="G61" i="8" s="1"/>
  <c r="A29" i="8"/>
  <c r="E22" i="12"/>
  <c r="J22" i="12"/>
  <c r="I22" i="12"/>
  <c r="H22" i="12"/>
  <c r="G22" i="12"/>
  <c r="F22" i="12"/>
  <c r="D22" i="12"/>
  <c r="C22" i="12"/>
  <c r="B22" i="12"/>
  <c r="B6" i="12"/>
  <c r="F8" i="12"/>
  <c r="E8" i="12"/>
  <c r="B5" i="12"/>
  <c r="B23" i="12" l="1"/>
  <c r="B8" i="12"/>
  <c r="I14" i="12"/>
  <c r="B9" i="12"/>
  <c r="C12" i="12"/>
  <c r="I15" i="12"/>
  <c r="B10" i="12"/>
  <c r="C13" i="12"/>
  <c r="F23" i="12"/>
  <c r="F10" i="12"/>
  <c r="F9" i="12"/>
  <c r="E30" i="8"/>
  <c r="E23" i="12"/>
  <c r="E9" i="12"/>
  <c r="I23" i="12"/>
  <c r="D8" i="12"/>
  <c r="H8" i="12"/>
  <c r="E10" i="12"/>
  <c r="K8" i="12"/>
  <c r="D23" i="12" l="1"/>
  <c r="D9" i="12"/>
  <c r="D11" i="12" s="1"/>
  <c r="D10" i="12"/>
  <c r="J16" i="12"/>
  <c r="K10" i="12"/>
  <c r="K9" i="12"/>
  <c r="H23" i="12"/>
  <c r="H10" i="12"/>
  <c r="H11" i="12" s="1"/>
  <c r="H9" i="12"/>
  <c r="K23" i="12"/>
  <c r="F11" i="12"/>
  <c r="I11" i="12"/>
  <c r="E11" i="12"/>
  <c r="K11" i="12"/>
  <c r="B11" i="12"/>
  <c r="G8" i="12"/>
  <c r="J8" i="12"/>
  <c r="G9" i="12" l="1"/>
  <c r="G10" i="12"/>
  <c r="L16" i="12"/>
  <c r="J9" i="12"/>
  <c r="J10" i="12"/>
  <c r="J11" i="12" s="1"/>
  <c r="I16" i="12"/>
  <c r="K16" i="12"/>
  <c r="G23" i="12"/>
  <c r="C23" i="12"/>
  <c r="C11" i="12"/>
  <c r="J23" i="12"/>
  <c r="G11" i="12" l="1"/>
  <c r="A63" i="8" l="1"/>
  <c r="E63" i="8" s="1"/>
  <c r="G63" i="8" s="1"/>
  <c r="C61" i="8"/>
  <c r="A57" i="8"/>
  <c r="E57" i="8" s="1"/>
  <c r="G57" i="8" s="1"/>
  <c r="A55" i="8"/>
  <c r="E55" i="8" s="1"/>
  <c r="G55" i="8" s="1"/>
  <c r="A53" i="8"/>
  <c r="E53" i="8" s="1"/>
  <c r="G53" i="8" s="1"/>
  <c r="A47" i="8"/>
  <c r="E48" i="8" s="1"/>
  <c r="C45" i="8"/>
  <c r="C39" i="8"/>
  <c r="C43" i="8"/>
  <c r="C37" i="8"/>
  <c r="C35" i="8"/>
  <c r="C27" i="8"/>
  <c r="C25" i="8"/>
  <c r="C23" i="8"/>
  <c r="C21" i="8"/>
  <c r="C19" i="8"/>
  <c r="C17" i="8"/>
  <c r="A11" i="8"/>
  <c r="E12" i="8" s="1"/>
  <c r="C9" i="8"/>
  <c r="C7" i="8"/>
  <c r="C5" i="8"/>
  <c r="C11" i="8" l="1"/>
  <c r="D5" i="8" s="1"/>
  <c r="C59" i="8"/>
  <c r="C65" i="8" s="1"/>
  <c r="D53" i="8" s="1"/>
  <c r="E59" i="8"/>
  <c r="G59" i="8" s="1"/>
  <c r="G9" i="8"/>
  <c r="G7" i="8"/>
  <c r="D7" i="8"/>
  <c r="C29" i="8"/>
  <c r="D21" i="8" s="1"/>
  <c r="C63" i="8"/>
  <c r="C57" i="8"/>
  <c r="E66" i="8"/>
  <c r="C55" i="8"/>
  <c r="E47" i="8"/>
  <c r="C53" i="8"/>
  <c r="C47" i="8"/>
  <c r="G21" i="8" l="1"/>
  <c r="G23" i="8"/>
  <c r="D17" i="8"/>
  <c r="D27" i="8"/>
  <c r="D19" i="8"/>
  <c r="G17" i="8"/>
  <c r="G27" i="8"/>
  <c r="D25" i="8"/>
  <c r="D9" i="8"/>
  <c r="G19" i="8"/>
  <c r="D3" i="8"/>
  <c r="G3" i="8"/>
  <c r="D23" i="8"/>
  <c r="G25" i="8"/>
  <c r="J63" i="8"/>
  <c r="G5" i="8"/>
  <c r="D41" i="8"/>
  <c r="G35" i="8"/>
  <c r="G39" i="8"/>
  <c r="G45" i="8"/>
  <c r="G37" i="8"/>
  <c r="G43" i="8"/>
  <c r="D35" i="8"/>
  <c r="D45" i="8"/>
  <c r="D43" i="8"/>
  <c r="D39" i="8"/>
  <c r="D37" i="8"/>
  <c r="E65" i="8"/>
  <c r="G65" i="8" s="1"/>
  <c r="D63" i="8"/>
  <c r="J61" i="8" l="1"/>
  <c r="D61" i="8"/>
  <c r="J57" i="8"/>
  <c r="D57" i="8"/>
  <c r="D59" i="8"/>
  <c r="J59" i="8"/>
  <c r="D55" i="8"/>
  <c r="D11" i="8"/>
  <c r="D65" i="8" l="1"/>
  <c r="E11" i="4"/>
  <c r="C11" i="4"/>
  <c r="E10" i="4"/>
  <c r="C10" i="4"/>
  <c r="E9" i="4"/>
  <c r="C9" i="4"/>
  <c r="E8" i="4"/>
  <c r="C8" i="4"/>
  <c r="E7" i="4"/>
  <c r="C7" i="4"/>
  <c r="E6" i="4"/>
  <c r="C6" i="4"/>
  <c r="E5" i="4"/>
  <c r="C5" i="4"/>
  <c r="E4" i="4"/>
  <c r="C4" i="4"/>
  <c r="D47" i="8"/>
  <c r="D29" i="8" l="1"/>
</calcChain>
</file>

<file path=xl/comments1.xml><?xml version="1.0" encoding="utf-8"?>
<comments xmlns="http://schemas.openxmlformats.org/spreadsheetml/2006/main">
  <authors>
    <author>Wegiel David</author>
  </authors>
  <commentList>
    <comment ref="A27" authorId="0">
      <text>
        <r>
          <rPr>
            <b/>
            <sz val="9"/>
            <color indexed="81"/>
            <rFont val="Tahoma"/>
            <family val="2"/>
            <charset val="238"/>
          </rPr>
          <t>včetně investičních transferů Mob</t>
        </r>
      </text>
    </comment>
  </commentList>
</comments>
</file>

<file path=xl/comments2.xml><?xml version="1.0" encoding="utf-8"?>
<comments xmlns="http://schemas.openxmlformats.org/spreadsheetml/2006/main">
  <authors>
    <author>Wegiel David</author>
  </authors>
  <commentList>
    <comment ref="B2" authorId="0">
      <text>
        <r>
          <rPr>
            <b/>
            <sz val="9"/>
            <color indexed="81"/>
            <rFont val="Tahoma"/>
            <charset val="1"/>
          </rPr>
          <t>včetně FV</t>
        </r>
      </text>
    </comment>
  </commentList>
</comments>
</file>

<file path=xl/comments3.xml><?xml version="1.0" encoding="utf-8"?>
<comments xmlns="http://schemas.openxmlformats.org/spreadsheetml/2006/main">
  <authors>
    <author>Wegiel David</author>
  </authors>
  <commentList>
    <comment ref="D3" authorId="0">
      <text>
        <r>
          <rPr>
            <b/>
            <sz val="9"/>
            <color indexed="81"/>
            <rFont val="Tahoma"/>
            <family val="2"/>
            <charset val="238"/>
          </rPr>
          <t>v Ginisu jsou blbosti</t>
        </r>
      </text>
    </comment>
  </commentList>
</comments>
</file>

<file path=xl/sharedStrings.xml><?xml version="1.0" encoding="utf-8"?>
<sst xmlns="http://schemas.openxmlformats.org/spreadsheetml/2006/main" count="233" uniqueCount="85">
  <si>
    <t>NIV transfery MOb</t>
  </si>
  <si>
    <t>% změna</t>
  </si>
  <si>
    <t>INV transfery MOb</t>
  </si>
  <si>
    <t>***</t>
  </si>
  <si>
    <t>DAŇOVÉ PŘÍJMY</t>
  </si>
  <si>
    <t>KAPITÁLOVÉ PŘÍJMY</t>
  </si>
  <si>
    <t>PŘIJATÉ TRANSFERY</t>
  </si>
  <si>
    <t>NEDAŇOVÉ PŘÍJMY</t>
  </si>
  <si>
    <t>Celkové příjmy MMO po konsolidaci</t>
  </si>
  <si>
    <t>ZEMĚDĚLSTVÍ A LESNÍ HOSPODÁŘSTVÍ</t>
  </si>
  <si>
    <t>PRŮMYSLOVÁ A OSTATNÍ ODVĚTVÍ HOSPODÁŘSTVÍ</t>
  </si>
  <si>
    <t>SLUŽBY PRO OBYVATELSTVO</t>
  </si>
  <si>
    <t>SOCIÁLNÍ VĚCI A POLITIKA ZAMĚSTNANOSTI</t>
  </si>
  <si>
    <t>BEZPEČNOST STÁTU A PRÁVNÍ OCHRANA</t>
  </si>
  <si>
    <t>VŠEOBECNÁ VEŘEJNÁ SPRÁVA A SLUŽBY</t>
  </si>
  <si>
    <t>Celkové běžné výdaje  MMO po konsolidaci</t>
  </si>
  <si>
    <t>Celkové kapitálové výdaje  MMO po konsolidaci</t>
  </si>
  <si>
    <t>Celkové  výdaje  MMO po konsolidaci</t>
  </si>
  <si>
    <t>Rok</t>
  </si>
  <si>
    <t>kapitálové výdaje</t>
  </si>
  <si>
    <t>běžné výdaje</t>
  </si>
  <si>
    <t>celkem</t>
  </si>
  <si>
    <t>Daň / Rok</t>
  </si>
  <si>
    <t>Daň z příjmů FO placená plátci</t>
  </si>
  <si>
    <t>absolutní hodnota v Kč</t>
  </si>
  <si>
    <t>meziroční změna v %</t>
  </si>
  <si>
    <t>Daň z příjmů FO placená poplatníky</t>
  </si>
  <si>
    <t>Daň z příjmů FO vybíraná srážkou</t>
  </si>
  <si>
    <t>Daň z příjmů právnických osob</t>
  </si>
  <si>
    <t>Daň z přidané hodnoty</t>
  </si>
  <si>
    <t>Sdílené daně města celkem</t>
  </si>
  <si>
    <t>(údaje v Kč)</t>
  </si>
  <si>
    <t>měsíc</t>
  </si>
  <si>
    <r>
      <t xml:space="preserve">daň z příjmů fyzických osob placená plátci - </t>
    </r>
    <r>
      <rPr>
        <b/>
        <i/>
        <sz val="8"/>
        <rFont val="Arial CE"/>
        <family val="2"/>
        <charset val="238"/>
      </rPr>
      <t>sdílená daň</t>
    </r>
  </si>
  <si>
    <r>
      <t xml:space="preserve">daň z příjmů fyzických osob placená plátci - </t>
    </r>
    <r>
      <rPr>
        <b/>
        <sz val="8"/>
        <rFont val="Arial CE"/>
        <family val="2"/>
        <charset val="238"/>
      </rPr>
      <t>motivační část daně</t>
    </r>
  </si>
  <si>
    <r>
      <t xml:space="preserve">daň z příjmů fyzických osob placená poplatníky - </t>
    </r>
    <r>
      <rPr>
        <b/>
        <i/>
        <sz val="8"/>
        <rFont val="Arial CE"/>
        <family val="2"/>
        <charset val="238"/>
      </rPr>
      <t>60% sdílené daně</t>
    </r>
  </si>
  <si>
    <r>
      <t xml:space="preserve">daň z příjmů fyzických osob vybíraná srážkou - </t>
    </r>
    <r>
      <rPr>
        <b/>
        <sz val="8"/>
        <rFont val="Arial CE"/>
        <charset val="238"/>
      </rPr>
      <t>sdílená daň</t>
    </r>
  </si>
  <si>
    <t>2612-1111</t>
  </si>
  <si>
    <t>podíl z ročního rozpočtu</t>
  </si>
  <si>
    <t>rozdíl proti ročnímu podílu</t>
  </si>
  <si>
    <t>4634-1111</t>
  </si>
  <si>
    <t>1652-1112</t>
  </si>
  <si>
    <t>1660-1113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</si>
  <si>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</si>
  <si>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</si>
  <si>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</si>
  <si>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</si>
  <si>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</si>
  <si>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</si>
  <si>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</si>
  <si>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</si>
  <si>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</si>
  <si>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</si>
  <si>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</si>
  <si>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</si>
  <si>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r>
      <t>daň z příjmů právnických osob -</t>
    </r>
    <r>
      <rPr>
        <b/>
        <i/>
        <sz val="8"/>
        <rFont val="Arial CE"/>
        <family val="2"/>
        <charset val="238"/>
      </rPr>
      <t xml:space="preserve"> sdílená daň</t>
    </r>
  </si>
  <si>
    <r>
      <t xml:space="preserve">daň z přidané hodnoty - </t>
    </r>
    <r>
      <rPr>
        <b/>
        <i/>
        <sz val="8"/>
        <rFont val="Arial CE"/>
        <family val="2"/>
        <charset val="238"/>
      </rPr>
      <t>sdílená daň</t>
    </r>
  </si>
  <si>
    <t>daně města celkem</t>
  </si>
  <si>
    <t>641-1121</t>
  </si>
  <si>
    <t>1679-1211</t>
  </si>
  <si>
    <t>% propadu oproti SR</t>
  </si>
  <si>
    <t>* v poměru počet zaměstnanců Ostravy k celkovému počtu zaměstnanců ČR</t>
  </si>
  <si>
    <t>podíl běžných výdajů v %</t>
  </si>
  <si>
    <t>podíl kapitálových výdajů v %</t>
  </si>
  <si>
    <t>meziroční změny KV</t>
  </si>
  <si>
    <t>meziroční změny BV</t>
  </si>
  <si>
    <t>Běžné a kapitálové výdaje statutárního města Ostravy (bez výdajů městských obvodů)</t>
  </si>
  <si>
    <t>v tom investiční převody MOb</t>
  </si>
  <si>
    <t>průměr KV (8 let)</t>
  </si>
  <si>
    <t>průměr BV (8 let)</t>
  </si>
  <si>
    <t>konsolidace</t>
  </si>
  <si>
    <t>běžné výdaje po konsolidaci</t>
  </si>
  <si>
    <t>výdaje celkem po konsolidaci</t>
  </si>
  <si>
    <t>kontrola</t>
  </si>
  <si>
    <t>průměr celkových výdajů (8 let)</t>
  </si>
  <si>
    <t>celkové výdaje</t>
  </si>
  <si>
    <t>Vývoj příjmů ze sdílených daní SMO v letech 2010 - 2019</t>
  </si>
  <si>
    <t>Daně statutárního města Ostravy v roce 2019</t>
  </si>
  <si>
    <t>stav k 31.12.2019</t>
  </si>
  <si>
    <t>% propadu
proti SR</t>
  </si>
  <si>
    <t>Vývoj příjmů ze sdílených daní SMO v roce 2019 - měsíční (1)</t>
  </si>
  <si>
    <t>Vývoj příjmů ze sdílených daní SMO v roce 2019 - měsíční (2)</t>
  </si>
  <si>
    <t>Sdílené daňové příjmy statutárního města Ostravy za rok 2019 - kumulativní</t>
  </si>
  <si>
    <t>Vývoj příjmů ze sdílených daní SMO v roce 2019 - kumulativní (1)</t>
  </si>
  <si>
    <t>Vývoj příjmů ze sdílených daní SMO v roce 2019 - kumulativní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</si>
</sst>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%"/>
    <numFmt numFmtId="165" formatCode="#,###,&quot; tis. Kč&quot;"/>
    <numFmt numFmtId="166" formatCode="0.00,,,&quot; MLD.KČ&quot;"/>
    <numFmt numFmtId="167" formatCode="#,##0_ ;\-#,##0\ "/>
    <numFmt numFmtId="168" formatCode="#,##0.00000000_ ;\-#,##0.00000000\ "/>
    <numFmt numFmtId="169" formatCode="#,##0.00_ ;\-#,##0.00\ "/>
    <numFmt numFmtId="170" formatCode="#,##0.00000"/>
    <numFmt numFmtId="171" formatCode="0.0,,&quot; %&quot;"/>
    <numFmt numFmtId="172" formatCode="0.0&quot; &quot;%"/>
    <numFmt numFmtId="173" formatCode="0.00&quot; &quot;%"/>
  </numFmts>
  <fonts count="4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color indexed="81"/>
      <name val="Tahoma"/>
      <charset val="1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b/>
      <i/>
      <sz val="16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b/>
      <i/>
      <sz val="8"/>
      <name val="Arial CE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7.5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7"/>
      <name val="Arial CE"/>
      <charset val="238"/>
    </font>
    <font>
      <b/>
      <sz val="18"/>
      <name val="Arial CE"/>
      <family val="2"/>
      <charset val="238"/>
    </font>
    <font>
      <b/>
      <sz val="22"/>
      <name val="Calibri"/>
      <family val="2"/>
      <charset val="238"/>
      <scheme val="minor"/>
    </font>
    <font>
      <b/>
      <i/>
      <sz val="16"/>
      <color indexed="10"/>
      <name val="Arial CE"/>
      <family val="2"/>
      <charset val="238"/>
    </font>
    <font>
      <b/>
      <sz val="12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6"/>
      <color indexed="8"/>
      <name val="Arial CE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0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i/>
      <sz val="16"/>
      <name val="Arial CE"/>
      <family val="2"/>
      <charset val="238"/>
    </font>
    <font>
      <sz val="16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6"/>
      <color rgb="FFFF000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0" fontId="9" fillId="0" borderId="0"/>
  </cellStyleXfs>
  <cellXfs count="271">
    <xf numFmtId="0" fontId="0" fillId="0" borderId="0" xfId="0"/>
    <xf numFmtId="4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 vertical="center"/>
    </xf>
    <xf numFmtId="0" fontId="2" fillId="0" borderId="0" xfId="1"/>
    <xf numFmtId="4" fontId="5" fillId="0" borderId="0" xfId="1" applyNumberFormat="1" applyFont="1"/>
    <xf numFmtId="4" fontId="2" fillId="0" borderId="0" xfId="1" applyNumberFormat="1"/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4" borderId="11" xfId="0" applyFill="1" applyBorder="1" applyAlignment="1">
      <alignment vertical="center"/>
    </xf>
    <xf numFmtId="3" fontId="0" fillId="4" borderId="12" xfId="0" applyNumberFormat="1" applyFill="1" applyBorder="1" applyAlignment="1">
      <alignment vertical="center"/>
    </xf>
    <xf numFmtId="3" fontId="0" fillId="4" borderId="14" xfId="0" applyNumberFormat="1" applyFill="1" applyBorder="1" applyAlignment="1">
      <alignment vertical="center"/>
    </xf>
    <xf numFmtId="0" fontId="0" fillId="0" borderId="11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0" fontId="0" fillId="4" borderId="15" xfId="0" applyFill="1" applyBorder="1" applyAlignment="1">
      <alignment vertical="center"/>
    </xf>
    <xf numFmtId="3" fontId="0" fillId="4" borderId="16" xfId="0" applyNumberFormat="1" applyFill="1" applyBorder="1" applyAlignment="1">
      <alignment vertical="center"/>
    </xf>
    <xf numFmtId="3" fontId="0" fillId="4" borderId="17" xfId="0" applyNumberFormat="1" applyFill="1" applyBorder="1" applyAlignment="1">
      <alignment vertical="center"/>
    </xf>
    <xf numFmtId="0" fontId="0" fillId="0" borderId="15" xfId="0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3" fontId="1" fillId="3" borderId="14" xfId="0" applyNumberFormat="1" applyFont="1" applyFill="1" applyBorder="1" applyAlignment="1">
      <alignment vertical="center"/>
    </xf>
    <xf numFmtId="3" fontId="1" fillId="3" borderId="12" xfId="0" applyNumberFormat="1" applyFont="1" applyFill="1" applyBorder="1" applyAlignment="1">
      <alignment vertical="center"/>
    </xf>
    <xf numFmtId="3" fontId="1" fillId="3" borderId="23" xfId="0" applyNumberFormat="1" applyFont="1" applyFill="1" applyBorder="1" applyAlignment="1">
      <alignment vertical="center"/>
    </xf>
    <xf numFmtId="0" fontId="1" fillId="3" borderId="25" xfId="0" applyFont="1" applyFill="1" applyBorder="1" applyAlignment="1">
      <alignment vertical="center"/>
    </xf>
    <xf numFmtId="3" fontId="0" fillId="0" borderId="0" xfId="0" applyNumberFormat="1"/>
    <xf numFmtId="166" fontId="10" fillId="0" borderId="0" xfId="0" applyNumberFormat="1" applyFont="1" applyAlignment="1">
      <alignment horizontal="right" vertical="center"/>
    </xf>
    <xf numFmtId="0" fontId="9" fillId="0" borderId="0" xfId="2"/>
    <xf numFmtId="0" fontId="13" fillId="0" borderId="0" xfId="2" applyFont="1" applyAlignment="1">
      <alignment horizontal="left"/>
    </xf>
    <xf numFmtId="0" fontId="14" fillId="0" borderId="0" xfId="2" applyFont="1" applyAlignment="1">
      <alignment horizontal="left"/>
    </xf>
    <xf numFmtId="0" fontId="14" fillId="5" borderId="0" xfId="2" applyFont="1" applyFill="1" applyAlignment="1">
      <alignment horizontal="left"/>
    </xf>
    <xf numFmtId="0" fontId="14" fillId="5" borderId="0" xfId="2" applyFont="1" applyFill="1"/>
    <xf numFmtId="0" fontId="14" fillId="0" borderId="0" xfId="2" applyFont="1"/>
    <xf numFmtId="14" fontId="15" fillId="0" borderId="0" xfId="2" applyNumberFormat="1" applyFont="1" applyAlignment="1">
      <alignment horizontal="right"/>
    </xf>
    <xf numFmtId="167" fontId="14" fillId="0" borderId="0" xfId="2" applyNumberFormat="1" applyFont="1"/>
    <xf numFmtId="0" fontId="19" fillId="0" borderId="62" xfId="2" applyFont="1" applyBorder="1" applyAlignment="1">
      <alignment vertical="center"/>
    </xf>
    <xf numFmtId="167" fontId="19" fillId="0" borderId="29" xfId="2" applyNumberFormat="1" applyFont="1" applyBorder="1" applyAlignment="1">
      <alignment vertical="center"/>
    </xf>
    <xf numFmtId="167" fontId="19" fillId="0" borderId="1" xfId="2" applyNumberFormat="1" applyFont="1" applyBorder="1" applyAlignment="1">
      <alignment vertical="center"/>
    </xf>
    <xf numFmtId="167" fontId="19" fillId="0" borderId="34" xfId="2" applyNumberFormat="1" applyFont="1" applyBorder="1" applyAlignment="1">
      <alignment vertical="center"/>
    </xf>
    <xf numFmtId="167" fontId="19" fillId="0" borderId="33" xfId="2" applyNumberFormat="1" applyFont="1" applyBorder="1" applyAlignment="1">
      <alignment vertical="center"/>
    </xf>
    <xf numFmtId="167" fontId="19" fillId="0" borderId="63" xfId="2" applyNumberFormat="1" applyFont="1" applyBorder="1" applyAlignment="1">
      <alignment vertical="center"/>
    </xf>
    <xf numFmtId="0" fontId="14" fillId="0" borderId="37" xfId="2" applyFont="1" applyBorder="1" applyAlignment="1">
      <alignment vertical="center"/>
    </xf>
    <xf numFmtId="167" fontId="14" fillId="2" borderId="37" xfId="2" applyNumberFormat="1" applyFont="1" applyFill="1" applyBorder="1" applyAlignment="1">
      <alignment vertical="center"/>
    </xf>
    <xf numFmtId="167" fontId="14" fillId="0" borderId="67" xfId="2" applyNumberFormat="1" applyFont="1" applyBorder="1" applyAlignment="1">
      <alignment vertical="center"/>
    </xf>
    <xf numFmtId="2" fontId="14" fillId="0" borderId="36" xfId="2" applyNumberFormat="1" applyFont="1" applyBorder="1" applyAlignment="1">
      <alignment vertical="center"/>
    </xf>
    <xf numFmtId="2" fontId="14" fillId="0" borderId="68" xfId="2" applyNumberFormat="1" applyFont="1" applyBorder="1" applyAlignment="1">
      <alignment vertical="center"/>
    </xf>
    <xf numFmtId="167" fontId="14" fillId="0" borderId="68" xfId="2" applyNumberFormat="1" applyFont="1" applyBorder="1" applyAlignment="1">
      <alignment vertical="center"/>
    </xf>
    <xf numFmtId="168" fontId="14" fillId="0" borderId="0" xfId="2" applyNumberFormat="1" applyFont="1"/>
    <xf numFmtId="4" fontId="20" fillId="0" borderId="0" xfId="2" applyNumberFormat="1" applyFont="1"/>
    <xf numFmtId="169" fontId="14" fillId="0" borderId="0" xfId="2" applyNumberFormat="1" applyFont="1"/>
    <xf numFmtId="4" fontId="14" fillId="0" borderId="0" xfId="2" applyNumberFormat="1" applyFont="1"/>
    <xf numFmtId="0" fontId="21" fillId="0" borderId="0" xfId="2" applyFont="1"/>
    <xf numFmtId="168" fontId="9" fillId="0" borderId="0" xfId="2" applyNumberFormat="1"/>
    <xf numFmtId="169" fontId="15" fillId="0" borderId="0" xfId="2" applyNumberFormat="1" applyFont="1"/>
    <xf numFmtId="0" fontId="15" fillId="0" borderId="0" xfId="2" applyFont="1" applyAlignment="1">
      <alignment horizontal="right"/>
    </xf>
    <xf numFmtId="0" fontId="12" fillId="0" borderId="0" xfId="2" applyFont="1"/>
    <xf numFmtId="0" fontId="19" fillId="0" borderId="39" xfId="2" applyFont="1" applyBorder="1" applyAlignment="1">
      <alignment vertical="center"/>
    </xf>
    <xf numFmtId="167" fontId="19" fillId="0" borderId="39" xfId="2" applyNumberFormat="1" applyFont="1" applyBorder="1" applyAlignment="1">
      <alignment vertical="center"/>
    </xf>
    <xf numFmtId="167" fontId="19" fillId="0" borderId="41" xfId="2" applyNumberFormat="1" applyFont="1" applyBorder="1" applyAlignment="1">
      <alignment vertical="center"/>
    </xf>
    <xf numFmtId="167" fontId="19" fillId="6" borderId="33" xfId="2" applyNumberFormat="1" applyFont="1" applyFill="1" applyBorder="1" applyAlignment="1">
      <alignment vertical="center"/>
    </xf>
    <xf numFmtId="10" fontId="19" fillId="0" borderId="62" xfId="2" applyNumberFormat="1" applyFont="1" applyBorder="1" applyAlignment="1">
      <alignment horizontal="center" vertical="center"/>
    </xf>
    <xf numFmtId="167" fontId="19" fillId="6" borderId="29" xfId="2" applyNumberFormat="1" applyFont="1" applyFill="1" applyBorder="1" applyAlignment="1">
      <alignment vertical="center"/>
    </xf>
    <xf numFmtId="167" fontId="19" fillId="6" borderId="74" xfId="2" applyNumberFormat="1" applyFont="1" applyFill="1" applyBorder="1" applyAlignment="1">
      <alignment vertical="center"/>
    </xf>
    <xf numFmtId="167" fontId="14" fillId="2" borderId="49" xfId="2" applyNumberFormat="1" applyFont="1" applyFill="1" applyBorder="1" applyAlignment="1">
      <alignment vertical="center"/>
    </xf>
    <xf numFmtId="167" fontId="14" fillId="0" borderId="57" xfId="2" applyNumberFormat="1" applyFont="1" applyBorder="1" applyAlignment="1">
      <alignment vertical="center"/>
    </xf>
    <xf numFmtId="2" fontId="14" fillId="0" borderId="50" xfId="2" applyNumberFormat="1" applyFont="1" applyBorder="1" applyAlignment="1">
      <alignment vertical="center"/>
    </xf>
    <xf numFmtId="2" fontId="14" fillId="0" borderId="77" xfId="2" applyNumberFormat="1" applyFont="1" applyBorder="1" applyAlignment="1">
      <alignment vertical="center"/>
    </xf>
    <xf numFmtId="167" fontId="14" fillId="2" borderId="35" xfId="2" applyNumberFormat="1" applyFont="1" applyFill="1" applyBorder="1" applyAlignment="1">
      <alignment vertical="center"/>
    </xf>
    <xf numFmtId="167" fontId="14" fillId="5" borderId="67" xfId="2" applyNumberFormat="1" applyFont="1" applyFill="1" applyBorder="1" applyAlignment="1">
      <alignment vertical="center"/>
    </xf>
    <xf numFmtId="2" fontId="14" fillId="5" borderId="68" xfId="2" applyNumberFormat="1" applyFont="1" applyFill="1" applyBorder="1" applyAlignment="1">
      <alignment vertical="center"/>
    </xf>
    <xf numFmtId="0" fontId="16" fillId="0" borderId="78" xfId="2" applyFont="1" applyBorder="1" applyAlignment="1">
      <alignment vertical="center"/>
    </xf>
    <xf numFmtId="4" fontId="19" fillId="0" borderId="0" xfId="2" applyNumberFormat="1" applyFont="1"/>
    <xf numFmtId="169" fontId="23" fillId="0" borderId="0" xfId="2" applyNumberFormat="1" applyFont="1"/>
    <xf numFmtId="4" fontId="9" fillId="0" borderId="0" xfId="2" applyNumberFormat="1"/>
    <xf numFmtId="0" fontId="24" fillId="0" borderId="0" xfId="3" applyFont="1" applyAlignment="1">
      <alignment horizontal="center"/>
    </xf>
    <xf numFmtId="0" fontId="9" fillId="0" borderId="0" xfId="3"/>
    <xf numFmtId="0" fontId="27" fillId="0" borderId="0" xfId="3" applyFont="1"/>
    <xf numFmtId="0" fontId="19" fillId="0" borderId="0" xfId="3" applyFont="1"/>
    <xf numFmtId="0" fontId="19" fillId="0" borderId="0" xfId="3" applyFont="1" applyAlignment="1">
      <alignment horizontal="left" indent="3"/>
    </xf>
    <xf numFmtId="0" fontId="9" fillId="0" borderId="0" xfId="3" applyAlignment="1">
      <alignment horizontal="left" indent="3"/>
    </xf>
    <xf numFmtId="0" fontId="30" fillId="0" borderId="0" xfId="0" applyFont="1"/>
    <xf numFmtId="4" fontId="31" fillId="0" borderId="0" xfId="0" applyNumberFormat="1" applyFont="1"/>
    <xf numFmtId="0" fontId="31" fillId="0" borderId="0" xfId="0" applyFont="1"/>
    <xf numFmtId="4" fontId="31" fillId="0" borderId="0" xfId="0" applyNumberFormat="1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165" fontId="31" fillId="0" borderId="0" xfId="0" applyNumberFormat="1" applyFont="1" applyAlignment="1">
      <alignment horizontal="right" vertical="center"/>
    </xf>
    <xf numFmtId="166" fontId="31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0" fontId="0" fillId="0" borderId="0" xfId="0"/>
    <xf numFmtId="170" fontId="0" fillId="0" borderId="0" xfId="0" applyNumberFormat="1" applyAlignment="1">
      <alignment horizontal="right" vertical="center"/>
    </xf>
    <xf numFmtId="170" fontId="0" fillId="0" borderId="0" xfId="0" applyNumberFormat="1"/>
    <xf numFmtId="0" fontId="0" fillId="0" borderId="0" xfId="0"/>
    <xf numFmtId="0" fontId="33" fillId="0" borderId="0" xfId="1" applyFont="1"/>
    <xf numFmtId="0" fontId="0" fillId="0" borderId="0" xfId="0"/>
    <xf numFmtId="4" fontId="6" fillId="0" borderId="0" xfId="1" applyNumberFormat="1" applyFont="1"/>
    <xf numFmtId="3" fontId="5" fillId="0" borderId="63" xfId="1" applyNumberFormat="1" applyFont="1" applyBorder="1" applyAlignment="1">
      <alignment vertical="center"/>
    </xf>
    <xf numFmtId="3" fontId="5" fillId="0" borderId="34" xfId="1" applyNumberFormat="1" applyFont="1" applyBorder="1" applyAlignment="1">
      <alignment vertical="center"/>
    </xf>
    <xf numFmtId="3" fontId="6" fillId="0" borderId="67" xfId="1" applyNumberFormat="1" applyFont="1" applyBorder="1" applyAlignment="1">
      <alignment vertical="center"/>
    </xf>
    <xf numFmtId="3" fontId="6" fillId="0" borderId="36" xfId="1" applyNumberFormat="1" applyFont="1" applyBorder="1" applyAlignment="1">
      <alignment vertical="center"/>
    </xf>
    <xf numFmtId="0" fontId="2" fillId="0" borderId="33" xfId="1" applyBorder="1" applyAlignment="1">
      <alignment vertical="center"/>
    </xf>
    <xf numFmtId="0" fontId="2" fillId="0" borderId="66" xfId="1" applyBorder="1" applyAlignment="1">
      <alignment vertical="center"/>
    </xf>
    <xf numFmtId="0" fontId="4" fillId="0" borderId="35" xfId="1" applyFont="1" applyBorder="1" applyAlignment="1">
      <alignment vertical="center"/>
    </xf>
    <xf numFmtId="0" fontId="2" fillId="0" borderId="60" xfId="1" applyBorder="1" applyAlignment="1">
      <alignment vertical="center"/>
    </xf>
    <xf numFmtId="0" fontId="4" fillId="3" borderId="35" xfId="1" applyFont="1" applyFill="1" applyBorder="1" applyAlignment="1">
      <alignment horizontal="center" vertical="center"/>
    </xf>
    <xf numFmtId="0" fontId="4" fillId="3" borderId="67" xfId="1" applyFont="1" applyFill="1" applyBorder="1" applyAlignment="1">
      <alignment horizontal="center" vertical="center"/>
    </xf>
    <xf numFmtId="0" fontId="6" fillId="3" borderId="36" xfId="1" applyFont="1" applyFill="1" applyBorder="1" applyAlignment="1">
      <alignment horizontal="center" vertical="center"/>
    </xf>
    <xf numFmtId="0" fontId="2" fillId="0" borderId="29" xfId="1" applyBorder="1" applyAlignment="1">
      <alignment vertical="center"/>
    </xf>
    <xf numFmtId="3" fontId="5" fillId="0" borderId="1" xfId="1" applyNumberFormat="1" applyFont="1" applyBorder="1" applyAlignment="1">
      <alignment vertical="center"/>
    </xf>
    <xf numFmtId="3" fontId="5" fillId="0" borderId="30" xfId="1" applyNumberFormat="1" applyFont="1" applyBorder="1" applyAlignment="1">
      <alignment vertical="center"/>
    </xf>
    <xf numFmtId="0" fontId="34" fillId="0" borderId="74" xfId="1" applyFont="1" applyBorder="1" applyAlignment="1">
      <alignment horizontal="left" vertical="center" indent="1"/>
    </xf>
    <xf numFmtId="3" fontId="35" fillId="0" borderId="80" xfId="1" applyNumberFormat="1" applyFont="1" applyBorder="1" applyAlignment="1">
      <alignment vertical="center"/>
    </xf>
    <xf numFmtId="3" fontId="35" fillId="0" borderId="76" xfId="1" applyNumberFormat="1" applyFont="1" applyBorder="1" applyAlignment="1">
      <alignment vertical="center"/>
    </xf>
    <xf numFmtId="0" fontId="5" fillId="0" borderId="70" xfId="1" applyFont="1" applyBorder="1" applyAlignment="1">
      <alignment horizontal="right" vertical="center"/>
    </xf>
    <xf numFmtId="0" fontId="2" fillId="0" borderId="56" xfId="1" applyBorder="1" applyAlignment="1">
      <alignment vertical="center"/>
    </xf>
    <xf numFmtId="0" fontId="5" fillId="0" borderId="57" xfId="1" applyFont="1" applyBorder="1" applyAlignment="1">
      <alignment horizontal="right" vertical="center"/>
    </xf>
    <xf numFmtId="0" fontId="5" fillId="0" borderId="1" xfId="1" applyFont="1" applyBorder="1" applyAlignment="1">
      <alignment horizontal="right" vertical="center"/>
    </xf>
    <xf numFmtId="3" fontId="5" fillId="0" borderId="70" xfId="1" applyNumberFormat="1" applyFont="1" applyBorder="1" applyAlignment="1">
      <alignment vertical="center"/>
    </xf>
    <xf numFmtId="3" fontId="5" fillId="0" borderId="57" xfId="1" applyNumberFormat="1" applyFont="1" applyBorder="1" applyAlignment="1">
      <alignment vertical="center"/>
    </xf>
    <xf numFmtId="3" fontId="5" fillId="0" borderId="61" xfId="1" applyNumberFormat="1" applyFont="1" applyBorder="1" applyAlignment="1">
      <alignment vertical="center"/>
    </xf>
    <xf numFmtId="3" fontId="5" fillId="0" borderId="58" xfId="1" applyNumberFormat="1" applyFont="1" applyBorder="1" applyAlignment="1">
      <alignment vertical="center"/>
    </xf>
    <xf numFmtId="0" fontId="0" fillId="3" borderId="37" xfId="0" applyFill="1" applyBorder="1" applyAlignment="1">
      <alignment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4" fontId="0" fillId="0" borderId="33" xfId="0" applyNumberFormat="1" applyBorder="1" applyAlignment="1">
      <alignment vertical="center"/>
    </xf>
    <xf numFmtId="164" fontId="0" fillId="0" borderId="34" xfId="0" applyNumberFormat="1" applyBorder="1" applyAlignment="1">
      <alignment horizontal="right" vertical="center"/>
    </xf>
    <xf numFmtId="4" fontId="0" fillId="0" borderId="41" xfId="0" applyNumberFormat="1" applyBorder="1" applyAlignment="1">
      <alignment vertical="center"/>
    </xf>
    <xf numFmtId="0" fontId="1" fillId="0" borderId="39" xfId="0" applyFont="1" applyBorder="1" applyAlignment="1">
      <alignment horizontal="center" vertical="center"/>
    </xf>
    <xf numFmtId="4" fontId="0" fillId="0" borderId="29" xfId="0" applyNumberFormat="1" applyBorder="1" applyAlignment="1">
      <alignment vertical="center"/>
    </xf>
    <xf numFmtId="4" fontId="0" fillId="0" borderId="42" xfId="0" applyNumberFormat="1" applyBorder="1" applyAlignment="1">
      <alignment vertical="center"/>
    </xf>
    <xf numFmtId="0" fontId="1" fillId="0" borderId="49" xfId="0" applyFont="1" applyBorder="1" applyAlignment="1">
      <alignment horizontal="center" vertical="center"/>
    </xf>
    <xf numFmtId="4" fontId="0" fillId="0" borderId="56" xfId="0" applyNumberFormat="1" applyBorder="1" applyAlignment="1">
      <alignment vertical="center"/>
    </xf>
    <xf numFmtId="4" fontId="0" fillId="0" borderId="81" xfId="0" applyNumberFormat="1" applyBorder="1" applyAlignment="1">
      <alignment vertical="center"/>
    </xf>
    <xf numFmtId="10" fontId="0" fillId="0" borderId="12" xfId="0" applyNumberFormat="1" applyBorder="1" applyAlignment="1">
      <alignment horizontal="right" vertical="center"/>
    </xf>
    <xf numFmtId="10" fontId="0" fillId="4" borderId="12" xfId="0" applyNumberFormat="1" applyFill="1" applyBorder="1" applyAlignment="1">
      <alignment horizontal="right" vertical="center"/>
    </xf>
    <xf numFmtId="10" fontId="0" fillId="0" borderId="21" xfId="0" applyNumberFormat="1" applyBorder="1" applyAlignment="1">
      <alignment horizontal="right" vertical="center"/>
    </xf>
    <xf numFmtId="3" fontId="1" fillId="3" borderId="8" xfId="0" applyNumberFormat="1" applyFont="1" applyFill="1" applyBorder="1" applyAlignment="1">
      <alignment vertical="center"/>
    </xf>
    <xf numFmtId="10" fontId="1" fillId="3" borderId="28" xfId="0" applyNumberFormat="1" applyFont="1" applyFill="1" applyBorder="1" applyAlignment="1">
      <alignment horizontal="right" vertical="center"/>
    </xf>
    <xf numFmtId="0" fontId="19" fillId="0" borderId="59" xfId="2" applyFont="1" applyBorder="1" applyAlignment="1">
      <alignment vertical="center"/>
    </xf>
    <xf numFmtId="167" fontId="19" fillId="0" borderId="53" xfId="2" applyNumberFormat="1" applyFont="1" applyBorder="1" applyAlignment="1">
      <alignment vertical="center"/>
    </xf>
    <xf numFmtId="167" fontId="19" fillId="0" borderId="60" xfId="2" applyNumberFormat="1" applyFont="1" applyBorder="1" applyAlignment="1">
      <alignment vertical="center"/>
    </xf>
    <xf numFmtId="167" fontId="19" fillId="0" borderId="61" xfId="2" applyNumberFormat="1" applyFont="1" applyBorder="1" applyAlignment="1">
      <alignment vertical="center"/>
    </xf>
    <xf numFmtId="0" fontId="19" fillId="0" borderId="62" xfId="2" applyFont="1" applyFill="1" applyBorder="1" applyAlignment="1">
      <alignment vertical="center"/>
    </xf>
    <xf numFmtId="167" fontId="19" fillId="0" borderId="29" xfId="2" applyNumberFormat="1" applyFont="1" applyFill="1" applyBorder="1" applyAlignment="1">
      <alignment vertical="center"/>
    </xf>
    <xf numFmtId="167" fontId="19" fillId="0" borderId="1" xfId="2" applyNumberFormat="1" applyFont="1" applyFill="1" applyBorder="1" applyAlignment="1">
      <alignment vertical="center"/>
    </xf>
    <xf numFmtId="167" fontId="19" fillId="0" borderId="34" xfId="2" applyNumberFormat="1" applyFont="1" applyFill="1" applyBorder="1" applyAlignment="1">
      <alignment vertical="center"/>
    </xf>
    <xf numFmtId="167" fontId="19" fillId="0" borderId="33" xfId="2" applyNumberFormat="1" applyFont="1" applyFill="1" applyBorder="1" applyAlignment="1">
      <alignment vertical="center"/>
    </xf>
    <xf numFmtId="167" fontId="19" fillId="0" borderId="63" xfId="2" applyNumberFormat="1" applyFont="1" applyFill="1" applyBorder="1" applyAlignment="1">
      <alignment vertical="center"/>
    </xf>
    <xf numFmtId="0" fontId="19" fillId="0" borderId="64" xfId="2" applyFont="1" applyFill="1" applyBorder="1" applyAlignment="1">
      <alignment vertical="center"/>
    </xf>
    <xf numFmtId="167" fontId="19" fillId="0" borderId="31" xfId="2" applyNumberFormat="1" applyFont="1" applyFill="1" applyBorder="1" applyAlignment="1">
      <alignment vertical="center"/>
    </xf>
    <xf numFmtId="167" fontId="19" fillId="0" borderId="65" xfId="2" applyNumberFormat="1" applyFont="1" applyFill="1" applyBorder="1" applyAlignment="1">
      <alignment vertical="center"/>
    </xf>
    <xf numFmtId="167" fontId="19" fillId="0" borderId="56" xfId="2" applyNumberFormat="1" applyFont="1" applyFill="1" applyBorder="1" applyAlignment="1">
      <alignment vertical="center"/>
    </xf>
    <xf numFmtId="167" fontId="19" fillId="0" borderId="66" xfId="2" applyNumberFormat="1" applyFont="1" applyFill="1" applyBorder="1" applyAlignment="1">
      <alignment vertical="center"/>
    </xf>
    <xf numFmtId="0" fontId="19" fillId="0" borderId="38" xfId="2" applyFont="1" applyBorder="1" applyAlignment="1">
      <alignment vertical="center"/>
    </xf>
    <xf numFmtId="167" fontId="19" fillId="0" borderId="45" xfId="2" applyNumberFormat="1" applyFont="1" applyBorder="1" applyAlignment="1">
      <alignment vertical="center"/>
    </xf>
    <xf numFmtId="167" fontId="19" fillId="0" borderId="69" xfId="2" applyNumberFormat="1" applyFont="1" applyBorder="1" applyAlignment="1">
      <alignment vertical="center"/>
    </xf>
    <xf numFmtId="167" fontId="19" fillId="0" borderId="70" xfId="2" applyNumberFormat="1" applyFont="1" applyBorder="1" applyAlignment="1">
      <alignment vertical="center"/>
    </xf>
    <xf numFmtId="167" fontId="19" fillId="0" borderId="71" xfId="2" applyNumberFormat="1" applyFont="1" applyBorder="1" applyAlignment="1">
      <alignment vertical="center"/>
    </xf>
    <xf numFmtId="167" fontId="19" fillId="6" borderId="60" xfId="2" applyNumberFormat="1" applyFont="1" applyFill="1" applyBorder="1" applyAlignment="1">
      <alignment vertical="center"/>
    </xf>
    <xf numFmtId="167" fontId="19" fillId="0" borderId="72" xfId="2" applyNumberFormat="1" applyFont="1" applyBorder="1" applyAlignment="1">
      <alignment vertical="center"/>
    </xf>
    <xf numFmtId="10" fontId="19" fillId="0" borderId="59" xfId="2" applyNumberFormat="1" applyFont="1" applyBorder="1" applyAlignment="1">
      <alignment horizontal="center" vertical="center"/>
    </xf>
    <xf numFmtId="0" fontId="19" fillId="0" borderId="39" xfId="2" applyFont="1" applyFill="1" applyBorder="1" applyAlignment="1">
      <alignment vertical="center"/>
    </xf>
    <xf numFmtId="167" fontId="19" fillId="0" borderId="22" xfId="2" applyNumberFormat="1" applyFont="1" applyFill="1" applyBorder="1" applyAlignment="1">
      <alignment vertical="center"/>
    </xf>
    <xf numFmtId="167" fontId="19" fillId="0" borderId="41" xfId="2" applyNumberFormat="1" applyFont="1" applyFill="1" applyBorder="1" applyAlignment="1">
      <alignment vertical="center"/>
    </xf>
    <xf numFmtId="10" fontId="19" fillId="0" borderId="62" xfId="2" applyNumberFormat="1" applyFont="1" applyFill="1" applyBorder="1" applyAlignment="1">
      <alignment horizontal="center" vertical="center"/>
    </xf>
    <xf numFmtId="167" fontId="19" fillId="0" borderId="39" xfId="2" applyNumberFormat="1" applyFont="1" applyFill="1" applyBorder="1" applyAlignment="1">
      <alignment vertical="center"/>
    </xf>
    <xf numFmtId="167" fontId="19" fillId="0" borderId="42" xfId="2" applyNumberFormat="1" applyFont="1" applyFill="1" applyBorder="1" applyAlignment="1">
      <alignment vertical="center"/>
    </xf>
    <xf numFmtId="0" fontId="19" fillId="0" borderId="73" xfId="2" applyFont="1" applyFill="1" applyBorder="1" applyAlignment="1">
      <alignment vertical="center"/>
    </xf>
    <xf numFmtId="167" fontId="19" fillId="0" borderId="49" xfId="2" applyNumberFormat="1" applyFont="1" applyFill="1" applyBorder="1" applyAlignment="1">
      <alignment vertical="center"/>
    </xf>
    <xf numFmtId="167" fontId="19" fillId="0" borderId="32" xfId="2" applyNumberFormat="1" applyFont="1" applyFill="1" applyBorder="1" applyAlignment="1">
      <alignment vertical="center"/>
    </xf>
    <xf numFmtId="167" fontId="19" fillId="0" borderId="43" xfId="2" applyNumberFormat="1" applyFont="1" applyFill="1" applyBorder="1" applyAlignment="1">
      <alignment vertical="center"/>
    </xf>
    <xf numFmtId="167" fontId="19" fillId="0" borderId="75" xfId="2" applyNumberFormat="1" applyFont="1" applyFill="1" applyBorder="1" applyAlignment="1">
      <alignment vertical="center"/>
    </xf>
    <xf numFmtId="167" fontId="19" fillId="0" borderId="76" xfId="2" applyNumberFormat="1" applyFont="1" applyFill="1" applyBorder="1" applyAlignment="1">
      <alignment vertical="center"/>
    </xf>
    <xf numFmtId="171" fontId="0" fillId="0" borderId="0" xfId="0" applyNumberFormat="1"/>
    <xf numFmtId="172" fontId="31" fillId="0" borderId="0" xfId="0" applyNumberFormat="1" applyFont="1" applyAlignment="1">
      <alignment horizontal="right" vertical="center"/>
    </xf>
    <xf numFmtId="172" fontId="10" fillId="0" borderId="0" xfId="0" applyNumberFormat="1" applyFont="1" applyAlignment="1">
      <alignment horizontal="right" vertical="center"/>
    </xf>
    <xf numFmtId="0" fontId="0" fillId="0" borderId="0" xfId="0" applyNumberFormat="1"/>
    <xf numFmtId="172" fontId="5" fillId="0" borderId="63" xfId="1" applyNumberFormat="1" applyFont="1" applyBorder="1" applyAlignment="1">
      <alignment vertical="center"/>
    </xf>
    <xf numFmtId="172" fontId="5" fillId="0" borderId="34" xfId="1" applyNumberFormat="1" applyFont="1" applyBorder="1" applyAlignment="1">
      <alignment vertical="center"/>
    </xf>
    <xf numFmtId="172" fontId="5" fillId="0" borderId="75" xfId="1" applyNumberFormat="1" applyFont="1" applyBorder="1" applyAlignment="1">
      <alignment vertical="center"/>
    </xf>
    <xf numFmtId="172" fontId="5" fillId="0" borderId="79" xfId="1" applyNumberFormat="1" applyFont="1" applyBorder="1" applyAlignment="1">
      <alignment vertical="center"/>
    </xf>
    <xf numFmtId="172" fontId="6" fillId="0" borderId="67" xfId="1" applyNumberFormat="1" applyFont="1" applyBorder="1" applyAlignment="1">
      <alignment vertical="center"/>
    </xf>
    <xf numFmtId="172" fontId="6" fillId="0" borderId="36" xfId="1" applyNumberFormat="1" applyFont="1" applyBorder="1" applyAlignment="1">
      <alignment vertical="center"/>
    </xf>
    <xf numFmtId="172" fontId="5" fillId="0" borderId="63" xfId="1" applyNumberFormat="1" applyFont="1" applyBorder="1" applyAlignment="1">
      <alignment horizontal="right" vertical="center"/>
    </xf>
    <xf numFmtId="172" fontId="5" fillId="0" borderId="75" xfId="1" applyNumberFormat="1" applyFont="1" applyBorder="1" applyAlignment="1">
      <alignment horizontal="right" vertical="center"/>
    </xf>
    <xf numFmtId="172" fontId="0" fillId="0" borderId="30" xfId="0" applyNumberFormat="1" applyBorder="1" applyAlignment="1">
      <alignment vertical="center"/>
    </xf>
    <xf numFmtId="172" fontId="0" fillId="0" borderId="58" xfId="0" applyNumberFormat="1" applyBorder="1" applyAlignment="1">
      <alignment vertical="center"/>
    </xf>
    <xf numFmtId="173" fontId="0" fillId="0" borderId="12" xfId="0" applyNumberFormat="1" applyBorder="1" applyAlignment="1">
      <alignment vertical="center"/>
    </xf>
    <xf numFmtId="173" fontId="0" fillId="0" borderId="14" xfId="0" applyNumberFormat="1" applyBorder="1" applyAlignment="1">
      <alignment vertical="center"/>
    </xf>
    <xf numFmtId="173" fontId="0" fillId="4" borderId="12" xfId="0" applyNumberFormat="1" applyFill="1" applyBorder="1" applyAlignment="1">
      <alignment vertical="center"/>
    </xf>
    <xf numFmtId="173" fontId="0" fillId="4" borderId="14" xfId="0" applyNumberFormat="1" applyFill="1" applyBorder="1" applyAlignment="1">
      <alignment vertical="center"/>
    </xf>
    <xf numFmtId="173" fontId="0" fillId="0" borderId="21" xfId="0" applyNumberFormat="1" applyBorder="1" applyAlignment="1">
      <alignment vertical="center"/>
    </xf>
    <xf numFmtId="173" fontId="0" fillId="0" borderId="28" xfId="0" applyNumberFormat="1" applyBorder="1" applyAlignment="1">
      <alignment vertical="center"/>
    </xf>
    <xf numFmtId="173" fontId="1" fillId="3" borderId="28" xfId="0" applyNumberFormat="1" applyFont="1" applyFill="1" applyBorder="1" applyAlignment="1">
      <alignment vertical="center"/>
    </xf>
    <xf numFmtId="173" fontId="1" fillId="3" borderId="26" xfId="0" applyNumberFormat="1" applyFont="1" applyFill="1" applyBorder="1" applyAlignment="1">
      <alignment vertical="center"/>
    </xf>
    <xf numFmtId="173" fontId="1" fillId="3" borderId="27" xfId="0" applyNumberFormat="1" applyFont="1" applyFill="1" applyBorder="1" applyAlignment="1">
      <alignment vertical="center"/>
    </xf>
    <xf numFmtId="173" fontId="1" fillId="3" borderId="21" xfId="0" applyNumberFormat="1" applyFont="1" applyFill="1" applyBorder="1" applyAlignment="1">
      <alignment vertical="center"/>
    </xf>
    <xf numFmtId="0" fontId="36" fillId="0" borderId="0" xfId="1" applyFont="1" applyFill="1" applyAlignment="1">
      <alignment horizontal="center"/>
    </xf>
    <xf numFmtId="0" fontId="37" fillId="0" borderId="0" xfId="1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1" fillId="3" borderId="22" xfId="0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0" fillId="0" borderId="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4" borderId="13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4" fillId="0" borderId="53" xfId="2" applyFont="1" applyBorder="1" applyAlignment="1">
      <alignment vertical="center" wrapText="1"/>
    </xf>
    <xf numFmtId="0" fontId="16" fillId="0" borderId="57" xfId="2" applyFont="1" applyBorder="1" applyAlignment="1">
      <alignment vertical="center" wrapText="1"/>
    </xf>
    <xf numFmtId="0" fontId="14" fillId="0" borderId="54" xfId="2" applyFont="1" applyBorder="1" applyAlignment="1">
      <alignment vertical="center" wrapText="1"/>
    </xf>
    <xf numFmtId="0" fontId="16" fillId="0" borderId="58" xfId="2" applyFont="1" applyBorder="1" applyAlignment="1">
      <alignment vertical="center" wrapText="1"/>
    </xf>
    <xf numFmtId="0" fontId="29" fillId="0" borderId="0" xfId="2" applyFont="1" applyAlignment="1">
      <alignment horizontal="center"/>
    </xf>
    <xf numFmtId="0" fontId="9" fillId="0" borderId="0" xfId="2" applyAlignment="1">
      <alignment horizontal="center"/>
    </xf>
    <xf numFmtId="0" fontId="11" fillId="0" borderId="0" xfId="2" applyFont="1" applyAlignment="1">
      <alignment horizontal="center"/>
    </xf>
    <xf numFmtId="0" fontId="39" fillId="0" borderId="0" xfId="2" applyFont="1" applyAlignment="1">
      <alignment horizontal="center"/>
    </xf>
    <xf numFmtId="0" fontId="14" fillId="0" borderId="44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 vertical="center"/>
    </xf>
    <xf numFmtId="0" fontId="16" fillId="0" borderId="55" xfId="2" applyFont="1" applyBorder="1" applyAlignment="1">
      <alignment horizontal="center" vertical="center"/>
    </xf>
    <xf numFmtId="0" fontId="14" fillId="0" borderId="45" xfId="2" applyFont="1" applyBorder="1" applyAlignment="1">
      <alignment horizontal="left" vertical="center" wrapText="1"/>
    </xf>
    <xf numFmtId="0" fontId="16" fillId="0" borderId="46" xfId="2" applyFont="1" applyBorder="1" applyAlignment="1">
      <alignment vertical="center" wrapText="1"/>
    </xf>
    <xf numFmtId="0" fontId="16" fillId="0" borderId="47" xfId="2" applyFont="1" applyBorder="1" applyAlignment="1">
      <alignment vertical="center" wrapText="1"/>
    </xf>
    <xf numFmtId="0" fontId="16" fillId="0" borderId="49" xfId="2" applyFont="1" applyBorder="1" applyAlignment="1">
      <alignment vertical="center" wrapText="1"/>
    </xf>
    <xf numFmtId="0" fontId="16" fillId="0" borderId="50" xfId="2" applyFont="1" applyBorder="1" applyAlignment="1">
      <alignment vertical="center" wrapText="1"/>
    </xf>
    <xf numFmtId="0" fontId="16" fillId="0" borderId="51" xfId="2" applyFont="1" applyBorder="1" applyAlignment="1">
      <alignment vertical="center" wrapText="1"/>
    </xf>
    <xf numFmtId="0" fontId="14" fillId="5" borderId="45" xfId="2" applyFont="1" applyFill="1" applyBorder="1" applyAlignment="1">
      <alignment horizontal="left" vertical="center" wrapText="1"/>
    </xf>
    <xf numFmtId="0" fontId="14" fillId="0" borderId="45" xfId="2" applyFont="1" applyBorder="1" applyAlignment="1">
      <alignment vertical="center" wrapText="1"/>
    </xf>
    <xf numFmtId="167" fontId="14" fillId="0" borderId="45" xfId="2" applyNumberFormat="1" applyFont="1" applyBorder="1" applyAlignment="1">
      <alignment vertical="center" wrapText="1"/>
    </xf>
    <xf numFmtId="0" fontId="13" fillId="0" borderId="52" xfId="2" applyFont="1" applyBorder="1" applyAlignment="1">
      <alignment vertical="center"/>
    </xf>
    <xf numFmtId="0" fontId="16" fillId="0" borderId="56" xfId="2" applyFont="1" applyBorder="1" applyAlignment="1">
      <alignment vertical="center"/>
    </xf>
    <xf numFmtId="0" fontId="14" fillId="0" borderId="44" xfId="2" applyFont="1" applyBorder="1" applyAlignment="1">
      <alignment horizontal="center" vertical="center" wrapText="1"/>
    </xf>
    <xf numFmtId="0" fontId="16" fillId="0" borderId="55" xfId="2" applyFont="1" applyBorder="1" applyAlignment="1">
      <alignment horizontal="center" vertical="center" wrapText="1"/>
    </xf>
    <xf numFmtId="0" fontId="17" fillId="0" borderId="0" xfId="2" applyFont="1" applyAlignment="1">
      <alignment wrapText="1"/>
    </xf>
    <xf numFmtId="0" fontId="9" fillId="0" borderId="0" xfId="2" applyAlignment="1">
      <alignment wrapText="1"/>
    </xf>
    <xf numFmtId="0" fontId="13" fillId="0" borderId="52" xfId="2" applyFont="1" applyBorder="1" applyAlignment="1">
      <alignment horizontal="left" vertical="center"/>
    </xf>
    <xf numFmtId="0" fontId="16" fillId="0" borderId="56" xfId="2" applyFont="1" applyBorder="1" applyAlignment="1">
      <alignment horizontal="left" vertical="center"/>
    </xf>
    <xf numFmtId="0" fontId="16" fillId="0" borderId="57" xfId="2" applyFont="1" applyBorder="1"/>
    <xf numFmtId="0" fontId="17" fillId="0" borderId="52" xfId="2" applyFont="1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67" fontId="14" fillId="0" borderId="45" xfId="2" applyNumberFormat="1" applyFont="1" applyBorder="1" applyAlignment="1">
      <alignment vertical="center"/>
    </xf>
    <xf numFmtId="0" fontId="16" fillId="0" borderId="46" xfId="2" applyFont="1" applyBorder="1" applyAlignment="1">
      <alignment vertical="center"/>
    </xf>
    <xf numFmtId="0" fontId="16" fillId="0" borderId="47" xfId="2" applyFont="1" applyBorder="1" applyAlignment="1">
      <alignment vertical="center"/>
    </xf>
    <xf numFmtId="0" fontId="16" fillId="0" borderId="49" xfId="2" applyFont="1" applyBorder="1" applyAlignment="1">
      <alignment vertical="center"/>
    </xf>
    <xf numFmtId="0" fontId="16" fillId="0" borderId="50" xfId="2" applyFont="1" applyBorder="1" applyAlignment="1">
      <alignment vertical="center"/>
    </xf>
    <xf numFmtId="0" fontId="16" fillId="0" borderId="51" xfId="2" applyFont="1" applyBorder="1" applyAlignment="1">
      <alignment vertical="center"/>
    </xf>
    <xf numFmtId="0" fontId="14" fillId="0" borderId="45" xfId="2" applyFont="1" applyBorder="1" applyAlignment="1">
      <alignment vertical="center"/>
    </xf>
    <xf numFmtId="0" fontId="22" fillId="2" borderId="45" xfId="2" applyFont="1" applyFill="1" applyBorder="1" applyAlignment="1">
      <alignment vertical="center"/>
    </xf>
    <xf numFmtId="0" fontId="19" fillId="0" borderId="0" xfId="3" applyFont="1" applyAlignment="1">
      <alignment horizontal="left" indent="4"/>
    </xf>
    <xf numFmtId="0" fontId="28" fillId="0" borderId="0" xfId="0" applyFont="1" applyAlignment="1">
      <alignment horizontal="left" indent="4"/>
    </xf>
    <xf numFmtId="0" fontId="25" fillId="0" borderId="0" xfId="3" applyFont="1" applyAlignment="1">
      <alignment horizontal="center"/>
    </xf>
    <xf numFmtId="0" fontId="25" fillId="0" borderId="0" xfId="3" applyFont="1"/>
    <xf numFmtId="0" fontId="26" fillId="0" borderId="0" xfId="2" applyFont="1" applyAlignment="1">
      <alignment horizontal="center"/>
    </xf>
    <xf numFmtId="0" fontId="0" fillId="0" borderId="0" xfId="0"/>
    <xf numFmtId="0" fontId="19" fillId="0" borderId="0" xfId="3" applyFont="1" applyAlignment="1">
      <alignment horizontal="left" indent="2"/>
    </xf>
    <xf numFmtId="0" fontId="0" fillId="0" borderId="0" xfId="0" applyAlignment="1">
      <alignment horizontal="left" indent="2"/>
    </xf>
  </cellXfs>
  <cellStyles count="4">
    <cellStyle name="Normální" xfId="0" builtinId="0"/>
    <cellStyle name="Normální 2" xfId="1"/>
    <cellStyle name="normální 2 2" xfId="3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6.xml"/><Relationship Id="rId13" Type="http://schemas.openxmlformats.org/officeDocument/2006/relationships/worksheet" Target="worksheets/sheet4.xml"/><Relationship Id="rId18" Type="http://schemas.openxmlformats.org/officeDocument/2006/relationships/worksheet" Target="worksheets/sheet8.xml"/><Relationship Id="rId3" Type="http://schemas.openxmlformats.org/officeDocument/2006/relationships/chartsheet" Target="chartsheets/sheet2.xml"/><Relationship Id="rId21" Type="http://schemas.openxmlformats.org/officeDocument/2006/relationships/sharedStrings" Target="sharedStrings.xml"/><Relationship Id="rId7" Type="http://schemas.openxmlformats.org/officeDocument/2006/relationships/chartsheet" Target="chartsheets/sheet5.xml"/><Relationship Id="rId12" Type="http://schemas.openxmlformats.org/officeDocument/2006/relationships/chartsheet" Target="chartsheets/sheet9.xml"/><Relationship Id="rId17" Type="http://schemas.openxmlformats.org/officeDocument/2006/relationships/worksheet" Target="worksheets/sheet7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8.xml"/><Relationship Id="rId5" Type="http://schemas.openxmlformats.org/officeDocument/2006/relationships/chartsheet" Target="chartsheets/sheet4.xml"/><Relationship Id="rId15" Type="http://schemas.openxmlformats.org/officeDocument/2006/relationships/worksheet" Target="worksheets/sheet5.xml"/><Relationship Id="rId10" Type="http://schemas.openxmlformats.org/officeDocument/2006/relationships/worksheet" Target="worksheets/sheet3.xml"/><Relationship Id="rId19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7.xml"/><Relationship Id="rId14" Type="http://schemas.openxmlformats.org/officeDocument/2006/relationships/chartsheet" Target="chartsheets/sheet10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Struktura příjmů </a:t>
            </a:r>
            <a:r>
              <a:rPr lang="cs-CZ"/>
              <a:t>SMO (bez MOb) v roce</a:t>
            </a:r>
            <a:r>
              <a:rPr lang="en-US"/>
              <a:t> 201</a:t>
            </a:r>
            <a:r>
              <a:rPr lang="cs-CZ"/>
              <a:t>9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6937584752429261"/>
          <c:y val="0.15348070159785265"/>
          <c:w val="0.49829181352330959"/>
          <c:h val="0.74108555835619694"/>
        </c:manualLayout>
      </c:layout>
      <c:doughnutChart>
        <c:varyColors val="1"/>
        <c:ser>
          <c:idx val="0"/>
          <c:order val="0"/>
          <c:tx>
            <c:v>Struktura příjmů MMO v roce 2018</c:v>
          </c:tx>
          <c:spPr>
            <a:effectLst>
              <a:softEdge rad="0"/>
            </a:effectLst>
          </c:spPr>
          <c:dPt>
            <c:idx val="0"/>
            <c:bubble3D val="0"/>
            <c:spPr>
              <a:solidFill>
                <a:schemeClr val="accent5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>
                <a:softEdge rad="0"/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783-4CD5-A2F4-1D5B6C518DFC}"/>
              </c:ext>
            </c:extLst>
          </c:dPt>
          <c:dPt>
            <c:idx val="1"/>
            <c:bubble3D val="0"/>
            <c:spPr>
              <a:solidFill>
                <a:schemeClr val="accent5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>
                <a:softEdge rad="0"/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783-4CD5-A2F4-1D5B6C518DFC}"/>
              </c:ext>
            </c:extLst>
          </c:dPt>
          <c:dPt>
            <c:idx val="2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>
                <a:softEdge rad="0"/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783-4CD5-A2F4-1D5B6C518DFC}"/>
              </c:ext>
            </c:extLst>
          </c:dPt>
          <c:dPt>
            <c:idx val="3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>
                <a:softEdge rad="0"/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783-4CD5-A2F4-1D5B6C518DFC}"/>
              </c:ext>
            </c:extLst>
          </c:dPt>
          <c:dPt>
            <c:idx val="4"/>
            <c:bubble3D val="0"/>
            <c:spPr>
              <a:solidFill>
                <a:schemeClr val="accent5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>
                <a:softEdge rad="0"/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783-4CD5-A2F4-1D5B6C518DFC}"/>
              </c:ext>
            </c:extLst>
          </c:dPt>
          <c:dPt>
            <c:idx val="5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>
                <a:softEdge rad="0"/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783-4CD5-A2F4-1D5B6C518DFC}"/>
              </c:ext>
            </c:extLst>
          </c:dPt>
          <c:dPt>
            <c:idx val="6"/>
            <c:bubble3D val="0"/>
            <c:spPr>
              <a:solidFill>
                <a:schemeClr val="accent5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>
                <a:softEdge rad="0"/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783-4CD5-A2F4-1D5B6C518DFC}"/>
              </c:ext>
            </c:extLst>
          </c:dPt>
          <c:dPt>
            <c:idx val="7"/>
            <c:bubble3D val="0"/>
            <c:spPr>
              <a:solidFill>
                <a:schemeClr val="accent5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>
                <a:softEdge rad="0"/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783-4CD5-A2F4-1D5B6C518DFC}"/>
              </c:ext>
            </c:extLst>
          </c:dPt>
          <c:cat>
            <c:strRef>
              <c:f>'data koláče'!$B$3:$B$10</c:f>
              <c:strCache>
                <c:ptCount val="7"/>
                <c:pt idx="0">
                  <c:v>DAŇOVÉ PŘÍJMY</c:v>
                </c:pt>
                <c:pt idx="2">
                  <c:v>KAPITÁLOVÉ PŘÍJMY</c:v>
                </c:pt>
                <c:pt idx="4">
                  <c:v>PŘIJATÉ TRANSFERY</c:v>
                </c:pt>
                <c:pt idx="6">
                  <c:v>NEDAŇOVÉ PŘÍJMY</c:v>
                </c:pt>
              </c:strCache>
            </c:strRef>
          </c:cat>
          <c:val>
            <c:numRef>
              <c:f>'data koláče'!$C$3:$C$10</c:f>
              <c:numCache>
                <c:formatCode>#,###," tis. Kč"</c:formatCode>
                <c:ptCount val="8"/>
                <c:pt idx="0">
                  <c:v>8360359381.5200005</c:v>
                </c:pt>
                <c:pt idx="1">
                  <c:v>0</c:v>
                </c:pt>
                <c:pt idx="2">
                  <c:v>336102028.77999997</c:v>
                </c:pt>
                <c:pt idx="3">
                  <c:v>0</c:v>
                </c:pt>
                <c:pt idx="4">
                  <c:v>817934589.30999947</c:v>
                </c:pt>
                <c:pt idx="5">
                  <c:v>0</c:v>
                </c:pt>
                <c:pt idx="6">
                  <c:v>766521026.23000002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F783-4CD5-A2F4-1D5B6C51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93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softEdge rad="127000"/>
    </a:effectLst>
  </c:spPr>
  <c:txPr>
    <a:bodyPr/>
    <a:lstStyle/>
    <a:p>
      <a:pPr>
        <a:defRPr/>
      </a:pPr>
      <a:endParaRPr lang="cs-CZ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2200" b="1" i="0" baseline="0">
                <a:solidFill>
                  <a:sysClr val="windowText" lastClr="000000"/>
                </a:solidFill>
                <a:effectLst/>
                <a:latin typeface="+mn-lt"/>
              </a:rPr>
              <a:t>Vývoj výnosů SMO ze sdílených daní</a:t>
            </a:r>
            <a:endParaRPr lang="cs-CZ" sz="2200" b="1">
              <a:solidFill>
                <a:sysClr val="windowText" lastClr="000000"/>
              </a:solidFill>
              <a:effectLst/>
              <a:latin typeface="+mn-lt"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ysClr val="windowText" lastClr="000000"/>
                </a:solidFill>
                <a:effectLst/>
                <a:latin typeface="+mn-lt"/>
              </a:rPr>
              <a:t>(včetně meziročních změn v %)</a:t>
            </a:r>
            <a:endParaRPr lang="cs-CZ" sz="1200">
              <a:solidFill>
                <a:sysClr val="windowText" lastClr="000000"/>
              </a:solidFill>
              <a:effectLst/>
              <a:latin typeface="+mn-lt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daně'!$A$14:$A$15</c:f>
              <c:strCache>
                <c:ptCount val="1"/>
                <c:pt idx="0">
                  <c:v>Sdílené daně města celkem</c:v>
                </c:pt>
              </c:strCache>
            </c:strRef>
          </c:tx>
          <c:spPr>
            <a:solidFill>
              <a:srgbClr val="003C69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strRef>
                  <c:f>'data daně'!$M$15</c:f>
                  <c:strCache>
                    <c:ptCount val="1"/>
                    <c:pt idx="0">
                      <c:v>-0,53 %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{6D3914D1-D640-4263-88F0-5E4D7DF5A827}</c15:txfldGUID>
                      <c15:f>'data daně'!$F$15</c15:f>
                      <c15:dlblFieldTableCache>
                        <c:ptCount val="1"/>
                        <c:pt idx="0">
                          <c:v>-1,02%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CEBF-4183-ACCB-FF0D461B485C}"/>
                </c:ext>
              </c:extLst>
            </c:dLbl>
            <c:dLbl>
              <c:idx val="1"/>
              <c:layout/>
              <c:tx>
                <c:strRef>
                  <c:f>'data daně'!$N$15</c:f>
                  <c:strCache>
                    <c:ptCount val="1"/>
                    <c:pt idx="0">
                      <c:v>-0,89 %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{0AA27F7A-334B-4C9A-97E0-D0D0CC59D665}</c15:txfldGUID>
                      <c15:f>'data daně'!$G$15</c15:f>
                      <c15:dlblFieldTableCache>
                        <c:ptCount val="1"/>
                        <c:pt idx="0">
                          <c:v>-0,53%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CEBF-4183-ACCB-FF0D461B485C}"/>
                </c:ext>
              </c:extLst>
            </c:dLbl>
            <c:dLbl>
              <c:idx val="2"/>
              <c:layout/>
              <c:tx>
                <c:strRef>
                  <c:f>'data daně'!$O$15</c:f>
                  <c:strCache>
                    <c:ptCount val="1"/>
                    <c:pt idx="0">
                      <c:v>4,45 %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{1319ADF2-2D60-4F65-BCCC-36334F36336D}</c15:txfldGUID>
                      <c15:f>'data daně'!$H$15</c15:f>
                      <c15:dlblFieldTableCache>
                        <c:ptCount val="1"/>
                        <c:pt idx="0">
                          <c:v>-0,89%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CEBF-4183-ACCB-FF0D461B485C}"/>
                </c:ext>
              </c:extLst>
            </c:dLbl>
            <c:dLbl>
              <c:idx val="3"/>
              <c:layout/>
              <c:tx>
                <c:strRef>
                  <c:f>'data daně'!$P$15</c:f>
                  <c:strCache>
                    <c:ptCount val="1"/>
                    <c:pt idx="0">
                      <c:v>2,13 %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{B7D73DBA-B322-42FE-A2AB-632922CE6CF0}</c15:txfldGUID>
                      <c15:f>'data daně'!$I$15</c15:f>
                      <c15:dlblFieldTableCache>
                        <c:ptCount val="1"/>
                        <c:pt idx="0">
                          <c:v>4,45%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CEBF-4183-ACCB-FF0D461B485C}"/>
                </c:ext>
              </c:extLst>
            </c:dLbl>
            <c:dLbl>
              <c:idx val="4"/>
              <c:layout/>
              <c:tx>
                <c:strRef>
                  <c:f>'data daně'!$Q$15</c:f>
                  <c:strCache>
                    <c:ptCount val="1"/>
                    <c:pt idx="0">
                      <c:v>8,51 %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{3AB73F2C-28E0-40EA-A989-674D85B0E4D4}</c15:txfldGUID>
                      <c15:f>'data daně'!$J$15</c15:f>
                      <c15:dlblFieldTableCache>
                        <c:ptCount val="1"/>
                        <c:pt idx="0">
                          <c:v>2,13%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CEBF-4183-ACCB-FF0D461B485C}"/>
                </c:ext>
              </c:extLst>
            </c:dLbl>
            <c:dLbl>
              <c:idx val="5"/>
              <c:layout/>
              <c:tx>
                <c:strRef>
                  <c:f>'data daně'!$R$15</c:f>
                  <c:strCache>
                    <c:ptCount val="1"/>
                    <c:pt idx="0">
                      <c:v>9,49 %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{E7A5C3BA-49D9-4AAC-A537-9FF8AA9F3566}</c15:txfldGUID>
                      <c15:f>'data daně'!$K$15</c15:f>
                      <c15:dlblFieldTableCache>
                        <c:ptCount val="1"/>
                        <c:pt idx="0">
                          <c:v>8,51%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CEBF-4183-ACCB-FF0D461B485C}"/>
                </c:ext>
              </c:extLst>
            </c:dLbl>
            <c:dLbl>
              <c:idx val="6"/>
              <c:layout/>
              <c:tx>
                <c:strRef>
                  <c:f>'data daně'!$S$15</c:f>
                  <c:strCache>
                    <c:ptCount val="1"/>
                    <c:pt idx="0">
                      <c:v>9,93 %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{BCFF33BC-5BEF-4C7C-88E5-4374DD8C0466}</c15:txfldGUID>
                      <c15:f>'data daně'!$L$15</c15:f>
                      <c15:dlblFieldTableCache>
                        <c:ptCount val="1"/>
                        <c:pt idx="0">
                          <c:v>9,49%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CEBF-4183-ACCB-FF0D461B485C}"/>
                </c:ext>
              </c:extLst>
            </c:dLbl>
            <c:dLbl>
              <c:idx val="7"/>
              <c:layout/>
              <c:tx>
                <c:strRef>
                  <c:f>'data daně'!$T$15</c:f>
                  <c:strCache>
                    <c:ptCount val="1"/>
                    <c:pt idx="0">
                      <c:v>8,07 %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{97EAFFCE-3A01-4AA0-B2B6-D150AB6BA2C9}</c15:txfldGUID>
                      <c15:f>'data daně'!$M$15</c15:f>
                      <c15:dlblFieldTableCache>
                        <c:ptCount val="1"/>
                        <c:pt idx="0">
                          <c:v>9,93%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CEBF-4183-ACCB-FF0D461B485C}"/>
                </c:ext>
              </c:extLst>
            </c:dLbl>
            <c:dLbl>
              <c:idx val="8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{5C69FDAB-1860-4A2A-A286-D1F30341E918}</c15:txfldGUID>
                      <c15:f>'data daně'!$L$15</c15:f>
                      <c15:dlblFieldTableCache>
                        <c:ptCount val="1"/>
                        <c:pt idx="0">
                          <c:v>9,49%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CEBF-4183-ACCB-FF0D461B485C}"/>
                </c:ext>
              </c:extLst>
            </c:dLbl>
            <c:dLbl>
              <c:idx val="9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{AE556201-8278-407F-994B-45E16E56D588}</c15:txfldGUID>
                      <c15:f>'data daně'!$M$15</c15:f>
                      <c15:dlblFieldTableCache>
                        <c:ptCount val="1"/>
                        <c:pt idx="0">
                          <c:v>9,93%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CEBF-4183-ACCB-FF0D461B48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daně'!$M$3:$T$3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'data daně'!$M$14:$T$14</c:f>
              <c:numCache>
                <c:formatCode>#,##0</c:formatCode>
                <c:ptCount val="8"/>
                <c:pt idx="0">
                  <c:v>5257934538.21</c:v>
                </c:pt>
                <c:pt idx="1">
                  <c:v>5211054775.0200005</c:v>
                </c:pt>
                <c:pt idx="2">
                  <c:v>5443027707.5100002</c:v>
                </c:pt>
                <c:pt idx="3">
                  <c:v>5558720394.0100002</c:v>
                </c:pt>
                <c:pt idx="4">
                  <c:v>6031790868.29</c:v>
                </c:pt>
                <c:pt idx="5">
                  <c:v>6603908970.8600006</c:v>
                </c:pt>
                <c:pt idx="6">
                  <c:v>7259909173.1899996</c:v>
                </c:pt>
                <c:pt idx="7">
                  <c:v>7846036640.2800007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BF-4183-ACCB-FF0D461B4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26880000"/>
        <c:axId val="226905472"/>
      </c:barChart>
      <c:catAx>
        <c:axId val="22688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6905472"/>
        <c:crosses val="autoZero"/>
        <c:auto val="1"/>
        <c:lblAlgn val="ctr"/>
        <c:lblOffset val="100"/>
        <c:noMultiLvlLbl val="0"/>
      </c:catAx>
      <c:valAx>
        <c:axId val="226905472"/>
        <c:scaling>
          <c:orientation val="minMax"/>
          <c:min val="30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6880000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právnických osob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 w="9525">
                <a:noFill/>
              </a:ln>
              <a:effectLst/>
            </c:spPr>
          </c:marker>
          <c:cat>
            <c:strRef>
              <c:f>'2019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(měs)'!$B$28:$B$39</c:f>
              <c:numCache>
                <c:formatCode>#,##0_ ;\-#,##0\ </c:formatCode>
                <c:ptCount val="12"/>
                <c:pt idx="0">
                  <c:v>106863469.45</c:v>
                </c:pt>
                <c:pt idx="1">
                  <c:v>10119942.49</c:v>
                </c:pt>
                <c:pt idx="2">
                  <c:v>288451976.89000005</c:v>
                </c:pt>
                <c:pt idx="3">
                  <c:v>94060417.739999995</c:v>
                </c:pt>
                <c:pt idx="4">
                  <c:v>6764056.2300000004</c:v>
                </c:pt>
                <c:pt idx="5">
                  <c:v>243399573.40000001</c:v>
                </c:pt>
                <c:pt idx="6">
                  <c:v>357348357.19</c:v>
                </c:pt>
                <c:pt idx="7">
                  <c:v>0</c:v>
                </c:pt>
                <c:pt idx="8">
                  <c:v>157121127.28</c:v>
                </c:pt>
                <c:pt idx="9">
                  <c:v>145196803.95999998</c:v>
                </c:pt>
                <c:pt idx="10">
                  <c:v>6018590.8799999999</c:v>
                </c:pt>
                <c:pt idx="11">
                  <c:v>289657435.38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1A-4978-ABB7-306ADD173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421696"/>
        <c:axId val="226906624"/>
      </c:lineChart>
      <c:catAx>
        <c:axId val="22742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6906624"/>
        <c:crosses val="autoZero"/>
        <c:auto val="1"/>
        <c:lblAlgn val="ctr"/>
        <c:lblOffset val="100"/>
        <c:noMultiLvlLbl val="0"/>
      </c:catAx>
      <c:valAx>
        <c:axId val="226906624"/>
        <c:scaling>
          <c:orientation val="minMax"/>
          <c:max val="42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7421696"/>
        <c:crosses val="autoZero"/>
        <c:crossBetween val="between"/>
        <c:majorUnit val="6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fyzických osob placená plátci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(měs)'!$B$8:$B$19</c:f>
              <c:numCache>
                <c:formatCode>#,##0_ ;\-#,##0\ </c:formatCode>
                <c:ptCount val="12"/>
                <c:pt idx="0">
                  <c:v>172935264.22</c:v>
                </c:pt>
                <c:pt idx="1">
                  <c:v>162742178.75</c:v>
                </c:pt>
                <c:pt idx="2">
                  <c:v>137450893.87</c:v>
                </c:pt>
                <c:pt idx="3">
                  <c:v>125226722.01000001</c:v>
                </c:pt>
                <c:pt idx="4">
                  <c:v>153095265.41999999</c:v>
                </c:pt>
                <c:pt idx="5">
                  <c:v>169072269</c:v>
                </c:pt>
                <c:pt idx="6">
                  <c:v>174455225.23000002</c:v>
                </c:pt>
                <c:pt idx="7">
                  <c:v>171540245.94</c:v>
                </c:pt>
                <c:pt idx="8">
                  <c:v>140926367.56</c:v>
                </c:pt>
                <c:pt idx="9">
                  <c:v>164870870.55000001</c:v>
                </c:pt>
                <c:pt idx="10">
                  <c:v>168051440.00999999</c:v>
                </c:pt>
                <c:pt idx="11">
                  <c:v>192813282.94999999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98F-4F43-95B2-00643F388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439616"/>
        <c:axId val="226908352"/>
      </c:lineChart>
      <c:catAx>
        <c:axId val="227439616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6908352"/>
        <c:crosses val="autoZero"/>
        <c:auto val="1"/>
        <c:lblAlgn val="ctr"/>
        <c:lblOffset val="100"/>
        <c:noMultiLvlLbl val="0"/>
      </c:catAx>
      <c:valAx>
        <c:axId val="22690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7439616"/>
        <c:crosses val="autoZero"/>
        <c:crossBetween val="between"/>
        <c:majorUnit val="3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přidané hodnoty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(měs)'!$E$28:$E$39</c:f>
              <c:numCache>
                <c:formatCode>#,##0_ ;\-#,##0\ </c:formatCode>
                <c:ptCount val="12"/>
                <c:pt idx="0">
                  <c:v>333202310.63999999</c:v>
                </c:pt>
                <c:pt idx="1">
                  <c:v>393778986.61000001</c:v>
                </c:pt>
                <c:pt idx="2">
                  <c:v>181375220.12</c:v>
                </c:pt>
                <c:pt idx="3">
                  <c:v>240426184.47</c:v>
                </c:pt>
                <c:pt idx="4">
                  <c:v>391408753.73000002</c:v>
                </c:pt>
                <c:pt idx="5">
                  <c:v>285714824.88</c:v>
                </c:pt>
                <c:pt idx="6">
                  <c:v>312578565.65000004</c:v>
                </c:pt>
                <c:pt idx="7">
                  <c:v>391164278.40999997</c:v>
                </c:pt>
                <c:pt idx="8">
                  <c:v>261499518.94999999</c:v>
                </c:pt>
                <c:pt idx="9">
                  <c:v>275772676.23000002</c:v>
                </c:pt>
                <c:pt idx="10">
                  <c:v>426276112.94</c:v>
                </c:pt>
                <c:pt idx="11">
                  <c:v>345381584.58999997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73-42C8-AA8D-30B08EE10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440128"/>
        <c:axId val="227344384"/>
      </c:lineChart>
      <c:catAx>
        <c:axId val="227440128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7344384"/>
        <c:crosses val="autoZero"/>
        <c:auto val="1"/>
        <c:lblAlgn val="ctr"/>
        <c:lblOffset val="100"/>
        <c:noMultiLvlLbl val="0"/>
      </c:catAx>
      <c:valAx>
        <c:axId val="227344384"/>
        <c:scaling>
          <c:orientation val="minMax"/>
          <c:max val="490000000.00000006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7440128"/>
        <c:crosses val="autoZero"/>
        <c:crossBetween val="between"/>
        <c:majorUnit val="7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plátci (motivační*)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(měs)'!$E$8:$E$19</c:f>
              <c:numCache>
                <c:formatCode>#,##0_ ;\-#,##0\ </c:formatCode>
                <c:ptCount val="12"/>
                <c:pt idx="0">
                  <c:v>11820493.530000001</c:v>
                </c:pt>
                <c:pt idx="1">
                  <c:v>11123774.470000001</c:v>
                </c:pt>
                <c:pt idx="2">
                  <c:v>9395061.2599999998</c:v>
                </c:pt>
                <c:pt idx="3">
                  <c:v>8559513.0999999996</c:v>
                </c:pt>
                <c:pt idx="4">
                  <c:v>10464387.359999999</c:v>
                </c:pt>
                <c:pt idx="5">
                  <c:v>11556449.620000001</c:v>
                </c:pt>
                <c:pt idx="6">
                  <c:v>11924386.120000001</c:v>
                </c:pt>
                <c:pt idx="7">
                  <c:v>11725141.050000001</c:v>
                </c:pt>
                <c:pt idx="8">
                  <c:v>9503883.3100000005</c:v>
                </c:pt>
                <c:pt idx="9">
                  <c:v>11253386.559999999</c:v>
                </c:pt>
                <c:pt idx="10">
                  <c:v>11470478.73</c:v>
                </c:pt>
                <c:pt idx="11">
                  <c:v>13160617.18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BA6-40E4-A5E7-8238DD663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441152"/>
        <c:axId val="227346112"/>
      </c:lineChart>
      <c:catAx>
        <c:axId val="227441152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7346112"/>
        <c:crosses val="autoZero"/>
        <c:auto val="1"/>
        <c:lblAlgn val="ctr"/>
        <c:lblOffset val="100"/>
        <c:noMultiLvlLbl val="0"/>
      </c:catAx>
      <c:valAx>
        <c:axId val="227346112"/>
        <c:scaling>
          <c:orientation val="minMax"/>
          <c:max val="14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744115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vybíraná srážkou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(měs)'!$K$8:$K$19</c:f>
              <c:numCache>
                <c:formatCode>#,##0_ ;\-#,##0\ </c:formatCode>
                <c:ptCount val="12"/>
                <c:pt idx="0">
                  <c:v>13739311.300000001</c:v>
                </c:pt>
                <c:pt idx="1">
                  <c:v>15807596.77</c:v>
                </c:pt>
                <c:pt idx="2">
                  <c:v>9805916.5700000003</c:v>
                </c:pt>
                <c:pt idx="3">
                  <c:v>11536330.440000001</c:v>
                </c:pt>
                <c:pt idx="4">
                  <c:v>13350575.880000001</c:v>
                </c:pt>
                <c:pt idx="5">
                  <c:v>15776535.300000001</c:v>
                </c:pt>
                <c:pt idx="6">
                  <c:v>19939905.75</c:v>
                </c:pt>
                <c:pt idx="7">
                  <c:v>18563627.170000002</c:v>
                </c:pt>
                <c:pt idx="8">
                  <c:v>17924787.390000001</c:v>
                </c:pt>
                <c:pt idx="9">
                  <c:v>17460546.59</c:v>
                </c:pt>
                <c:pt idx="10">
                  <c:v>15138282.709999999</c:v>
                </c:pt>
                <c:pt idx="11">
                  <c:v>13998090.649999999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0F5-4B1F-947A-44DCB63EB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442176"/>
        <c:axId val="227347840"/>
      </c:lineChart>
      <c:catAx>
        <c:axId val="227442176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7347840"/>
        <c:crosses val="autoZero"/>
        <c:auto val="1"/>
        <c:lblAlgn val="ctr"/>
        <c:lblOffset val="100"/>
        <c:noMultiLvlLbl val="0"/>
      </c:catAx>
      <c:valAx>
        <c:axId val="227347840"/>
        <c:scaling>
          <c:orientation val="minMax"/>
          <c:max val="21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7442176"/>
        <c:crosses val="autoZero"/>
        <c:crossBetween val="between"/>
        <c:majorUnit val="3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Daň z příjmů FO placená poplatníky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(měs)'!$H$8:$H$19</c:f>
              <c:numCache>
                <c:formatCode>#,##0_ ;\-#,##0\ </c:formatCode>
                <c:ptCount val="12"/>
                <c:pt idx="0">
                  <c:v>4799314.12</c:v>
                </c:pt>
                <c:pt idx="1">
                  <c:v>2574252.66</c:v>
                </c:pt>
                <c:pt idx="2">
                  <c:v>5549093.5300000003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10901788.299999999</c:v>
                </c:pt>
                <c:pt idx="7">
                  <c:v>0</c:v>
                </c:pt>
                <c:pt idx="8">
                  <c:v>6822741.6900000004</c:v>
                </c:pt>
                <c:pt idx="9">
                  <c:v>4899392.57</c:v>
                </c:pt>
                <c:pt idx="10">
                  <c:v>2179052.2599999998</c:v>
                </c:pt>
                <c:pt idx="11">
                  <c:v>16551132.719999999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3C-4111-BC8A-1ABA95B4D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200960"/>
        <c:axId val="227349568"/>
      </c:lineChart>
      <c:catAx>
        <c:axId val="22820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7349568"/>
        <c:crosses val="autoZero"/>
        <c:auto val="1"/>
        <c:lblAlgn val="ctr"/>
        <c:lblOffset val="100"/>
        <c:noMultiLvlLbl val="0"/>
      </c:catAx>
      <c:valAx>
        <c:axId val="227349568"/>
        <c:scaling>
          <c:orientation val="minMax"/>
          <c:max val="17500000.00000000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8200960"/>
        <c:crosses val="autoZero"/>
        <c:crossBetween val="between"/>
        <c:majorUnit val="25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Daně města v roce 201</a:t>
            </a:r>
            <a:r>
              <a:rPr lang="cs-CZ"/>
              <a:t>9</a:t>
            </a:r>
            <a:r>
              <a:rPr lang="en-US"/>
              <a:t> celkem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Daně města v roce 2018 celkem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(měs)'!$A$8:$A$19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(měs)'!$H$28:$H$39</c:f>
              <c:numCache>
                <c:formatCode>#,##0_ ;\-#,##0\ </c:formatCode>
                <c:ptCount val="12"/>
                <c:pt idx="0">
                  <c:v>643360163.25999999</c:v>
                </c:pt>
                <c:pt idx="1">
                  <c:v>596146731.75</c:v>
                </c:pt>
                <c:pt idx="2">
                  <c:v>632028162.24000001</c:v>
                </c:pt>
                <c:pt idx="3">
                  <c:v>479809167.75999999</c:v>
                </c:pt>
                <c:pt idx="4">
                  <c:v>575083038.62</c:v>
                </c:pt>
                <c:pt idx="5">
                  <c:v>725519652.20000005</c:v>
                </c:pt>
                <c:pt idx="6">
                  <c:v>887148228.24000001</c:v>
                </c:pt>
                <c:pt idx="7">
                  <c:v>592993292.56999993</c:v>
                </c:pt>
                <c:pt idx="8">
                  <c:v>593798426.18000007</c:v>
                </c:pt>
                <c:pt idx="9">
                  <c:v>619453676.46000004</c:v>
                </c:pt>
                <c:pt idx="10">
                  <c:v>629133957.52999997</c:v>
                </c:pt>
                <c:pt idx="11">
                  <c:v>871562143.47000003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5A1-453C-BDDD-56F4EEA5A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201984"/>
        <c:axId val="227351296"/>
      </c:lineChart>
      <c:catAx>
        <c:axId val="228201984"/>
        <c:scaling>
          <c:orientation val="minMax"/>
        </c:scaling>
        <c:delete val="0"/>
        <c:axPos val="b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7351296"/>
        <c:crosses val="autoZero"/>
        <c:auto val="1"/>
        <c:lblAlgn val="ctr"/>
        <c:lblOffset val="100"/>
        <c:noMultiLvlLbl val="0"/>
      </c:catAx>
      <c:valAx>
        <c:axId val="227351296"/>
        <c:scaling>
          <c:orientation val="minMax"/>
          <c:max val="105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  <a:alpha val="9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chemeClr val="tx1">
                <a:alpha val="98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8201984"/>
        <c:crosses val="autoZero"/>
        <c:crossBetween val="between"/>
        <c:majorUnit val="15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právnických osob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(kum)'!$B$28:$B$39</c:f>
              <c:numCache>
                <c:formatCode>#,##0_ ;\-#,##0\ </c:formatCode>
                <c:ptCount val="12"/>
                <c:pt idx="0">
                  <c:v>106863469.45</c:v>
                </c:pt>
                <c:pt idx="1">
                  <c:v>116983411.94</c:v>
                </c:pt>
                <c:pt idx="2">
                  <c:v>405435388.83000004</c:v>
                </c:pt>
                <c:pt idx="3">
                  <c:v>499495806.57000005</c:v>
                </c:pt>
                <c:pt idx="4">
                  <c:v>506259862.80000007</c:v>
                </c:pt>
                <c:pt idx="5">
                  <c:v>749659436.20000005</c:v>
                </c:pt>
                <c:pt idx="6">
                  <c:v>1107007793.3900001</c:v>
                </c:pt>
                <c:pt idx="7">
                  <c:v>1107007793.3900001</c:v>
                </c:pt>
                <c:pt idx="8">
                  <c:v>1264128920.6700001</c:v>
                </c:pt>
                <c:pt idx="9">
                  <c:v>1409325724.6300001</c:v>
                </c:pt>
                <c:pt idx="10">
                  <c:v>1415344315.5100002</c:v>
                </c:pt>
                <c:pt idx="11">
                  <c:v>1705001750.8900003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91F-4A06-B181-533C6A5FEEAB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(kum)'!$C$28:$C$39</c:f>
              <c:numCache>
                <c:formatCode>#,##0_ ;\-#,##0\ </c:formatCode>
                <c:ptCount val="12"/>
                <c:pt idx="0">
                  <c:v>136062583.33333334</c:v>
                </c:pt>
                <c:pt idx="1">
                  <c:v>272125166.66666669</c:v>
                </c:pt>
                <c:pt idx="2">
                  <c:v>408187750</c:v>
                </c:pt>
                <c:pt idx="3">
                  <c:v>544250333.33333337</c:v>
                </c:pt>
                <c:pt idx="4">
                  <c:v>680312916.66666675</c:v>
                </c:pt>
                <c:pt idx="5">
                  <c:v>816375500</c:v>
                </c:pt>
                <c:pt idx="6">
                  <c:v>952438083.33333337</c:v>
                </c:pt>
                <c:pt idx="7">
                  <c:v>1088500666.6666667</c:v>
                </c:pt>
                <c:pt idx="8">
                  <c:v>1224563250</c:v>
                </c:pt>
                <c:pt idx="9">
                  <c:v>1360625833.3333335</c:v>
                </c:pt>
                <c:pt idx="10">
                  <c:v>1496688416.6666667</c:v>
                </c:pt>
                <c:pt idx="11">
                  <c:v>1632751000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91F-4A06-B181-533C6A5FE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85376"/>
        <c:axId val="228368960"/>
      </c:lineChart>
      <c:catAx>
        <c:axId val="22768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8368960"/>
        <c:crosses val="autoZero"/>
        <c:auto val="1"/>
        <c:lblAlgn val="ctr"/>
        <c:lblOffset val="100"/>
        <c:noMultiLvlLbl val="0"/>
      </c:catAx>
      <c:valAx>
        <c:axId val="228368960"/>
        <c:scaling>
          <c:orientation val="minMax"/>
          <c:max val="182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,##0_ ;\-#,##0\ 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7685376"/>
        <c:crosses val="autoZero"/>
        <c:crossBetween val="between"/>
        <c:majorUnit val="26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59055118110236227" l="0.51181102362204722" r="0.51181102362204722" t="0.59055118110236227" header="0.31496062992125984" footer="0.31496062992125984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fyzických osob placená plátci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(kum)'!$B$8:$B$19</c:f>
              <c:numCache>
                <c:formatCode>#,##0_ ;\-#,##0\ </c:formatCode>
                <c:ptCount val="12"/>
                <c:pt idx="0">
                  <c:v>172935264.22</c:v>
                </c:pt>
                <c:pt idx="1">
                  <c:v>335677442.97000003</c:v>
                </c:pt>
                <c:pt idx="2">
                  <c:v>473128336.84000003</c:v>
                </c:pt>
                <c:pt idx="3">
                  <c:v>598355058.85000002</c:v>
                </c:pt>
                <c:pt idx="4">
                  <c:v>751450324.26999998</c:v>
                </c:pt>
                <c:pt idx="5">
                  <c:v>920522593.26999998</c:v>
                </c:pt>
                <c:pt idx="6">
                  <c:v>1094977818.5</c:v>
                </c:pt>
                <c:pt idx="7">
                  <c:v>1266518064.4400001</c:v>
                </c:pt>
                <c:pt idx="8">
                  <c:v>1407444432</c:v>
                </c:pt>
                <c:pt idx="9">
                  <c:v>1572315302.55</c:v>
                </c:pt>
                <c:pt idx="10">
                  <c:v>1740366742.5599999</c:v>
                </c:pt>
                <c:pt idx="11">
                  <c:v>1933180025.51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A7-4223-A709-11E6847ADA14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(kum)'!$C$8:$C$19</c:f>
              <c:numCache>
                <c:formatCode>#,##0_ ;\-#,##0\ </c:formatCode>
                <c:ptCount val="12"/>
                <c:pt idx="0">
                  <c:v>157645583.33333334</c:v>
                </c:pt>
                <c:pt idx="1">
                  <c:v>315291166.66666669</c:v>
                </c:pt>
                <c:pt idx="2">
                  <c:v>472936750</c:v>
                </c:pt>
                <c:pt idx="3">
                  <c:v>630582333.33333337</c:v>
                </c:pt>
                <c:pt idx="4">
                  <c:v>788227916.66666675</c:v>
                </c:pt>
                <c:pt idx="5">
                  <c:v>945873500</c:v>
                </c:pt>
                <c:pt idx="6">
                  <c:v>1103519083.3333335</c:v>
                </c:pt>
                <c:pt idx="7">
                  <c:v>1261164666.6666667</c:v>
                </c:pt>
                <c:pt idx="8">
                  <c:v>1418810250</c:v>
                </c:pt>
                <c:pt idx="9">
                  <c:v>1576455833.3333335</c:v>
                </c:pt>
                <c:pt idx="10">
                  <c:v>1734101416.6666667</c:v>
                </c:pt>
                <c:pt idx="11">
                  <c:v>1891747000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A7-4223-A709-11E6847AD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86400"/>
        <c:axId val="228370688"/>
      </c:lineChart>
      <c:catAx>
        <c:axId val="22768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8370688"/>
        <c:crosses val="autoZero"/>
        <c:auto val="1"/>
        <c:lblAlgn val="ctr"/>
        <c:lblOffset val="100"/>
        <c:noMultiLvlLbl val="0"/>
      </c:catAx>
      <c:valAx>
        <c:axId val="228370688"/>
        <c:scaling>
          <c:orientation val="minMax"/>
          <c:max val="210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7686400"/>
        <c:crosses val="autoZero"/>
        <c:crossBetween val="between"/>
        <c:majorUnit val="30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2700"/>
              <a:t>Struktura </a:t>
            </a:r>
            <a:r>
              <a:rPr lang="cs-CZ" sz="2700"/>
              <a:t>celkových výdajů</a:t>
            </a:r>
            <a:r>
              <a:rPr lang="en-US" sz="2700"/>
              <a:t> </a:t>
            </a:r>
            <a:r>
              <a:rPr lang="cs-CZ" sz="2700"/>
              <a:t>SMO (bez MOb) v roce</a:t>
            </a:r>
            <a:r>
              <a:rPr lang="en-US" sz="2700"/>
              <a:t> 201</a:t>
            </a:r>
            <a:r>
              <a:rPr lang="cs-CZ" sz="2700"/>
              <a:t>9</a:t>
            </a:r>
            <a:endParaRPr lang="en-US" sz="27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6937584752429261"/>
          <c:y val="0.15348070159785265"/>
          <c:w val="0.49829181352330959"/>
          <c:h val="0.74108555835619694"/>
        </c:manualLayout>
      </c:layout>
      <c:doughnutChart>
        <c:varyColors val="1"/>
        <c:ser>
          <c:idx val="0"/>
          <c:order val="0"/>
          <c:tx>
            <c:v>Struktura kapitálových výdajů MMO v roce 2018</c:v>
          </c:tx>
          <c:dPt>
            <c:idx val="0"/>
            <c:bubble3D val="0"/>
            <c:spPr>
              <a:solidFill>
                <a:schemeClr val="accent5">
                  <a:shade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35E-4F17-9C4C-6B1DB5748A3B}"/>
              </c:ext>
            </c:extLst>
          </c:dPt>
          <c:dPt>
            <c:idx val="1"/>
            <c:bubble3D val="0"/>
            <c:spPr>
              <a:solidFill>
                <a:schemeClr val="accent5">
                  <a:shade val="5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35E-4F17-9C4C-6B1DB5748A3B}"/>
              </c:ext>
            </c:extLst>
          </c:dPt>
          <c:dPt>
            <c:idx val="2"/>
            <c:bubble3D val="0"/>
            <c:spPr>
              <a:solidFill>
                <a:schemeClr val="accent5">
                  <a:shade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35E-4F17-9C4C-6B1DB5748A3B}"/>
              </c:ext>
            </c:extLst>
          </c:dPt>
          <c:dPt>
            <c:idx val="3"/>
            <c:bubble3D val="0"/>
            <c:spPr>
              <a:solidFill>
                <a:schemeClr val="accent5">
                  <a:shade val="7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35E-4F17-9C4C-6B1DB5748A3B}"/>
              </c:ext>
            </c:extLst>
          </c:dPt>
          <c:dPt>
            <c:idx val="4"/>
            <c:bubble3D val="0"/>
            <c:spPr>
              <a:solidFill>
                <a:schemeClr val="accent5">
                  <a:shade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35E-4F17-9C4C-6B1DB5748A3B}"/>
              </c:ext>
            </c:extLst>
          </c:dPt>
          <c:dPt>
            <c:idx val="5"/>
            <c:bubble3D val="0"/>
            <c:spPr>
              <a:solidFill>
                <a:schemeClr val="accent5">
                  <a:shade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35E-4F17-9C4C-6B1DB5748A3B}"/>
              </c:ext>
            </c:extLst>
          </c:dPt>
          <c:dPt>
            <c:idx val="6"/>
            <c:bubble3D val="0"/>
            <c:spPr>
              <a:solidFill>
                <a:schemeClr val="accent5">
                  <a:tint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35E-4F17-9C4C-6B1DB5748A3B}"/>
              </c:ext>
            </c:extLst>
          </c:dPt>
          <c:dPt>
            <c:idx val="7"/>
            <c:bubble3D val="0"/>
            <c:spPr>
              <a:solidFill>
                <a:schemeClr val="accent5">
                  <a:tint val="8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35E-4F17-9C4C-6B1DB5748A3B}"/>
              </c:ext>
            </c:extLst>
          </c:dPt>
          <c:dPt>
            <c:idx val="8"/>
            <c:bubble3D val="0"/>
            <c:spPr>
              <a:solidFill>
                <a:schemeClr val="accent5">
                  <a:tint val="7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B6B-4B3B-A92D-5F6DE9F0071C}"/>
              </c:ext>
            </c:extLst>
          </c:dPt>
          <c:dPt>
            <c:idx val="9"/>
            <c:bubble3D val="0"/>
            <c:spPr>
              <a:solidFill>
                <a:schemeClr val="accent5">
                  <a:tint val="6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B6B-4B3B-A92D-5F6DE9F0071C}"/>
              </c:ext>
            </c:extLst>
          </c:dPt>
          <c:dPt>
            <c:idx val="10"/>
            <c:bubble3D val="0"/>
            <c:spPr>
              <a:solidFill>
                <a:schemeClr val="accent5">
                  <a:tint val="5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9B6B-4B3B-A92D-5F6DE9F0071C}"/>
              </c:ext>
            </c:extLst>
          </c:dPt>
          <c:dPt>
            <c:idx val="11"/>
            <c:bubble3D val="0"/>
            <c:spPr>
              <a:solidFill>
                <a:schemeClr val="accent5">
                  <a:tint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9B6B-4B3B-A92D-5F6DE9F0071C}"/>
              </c:ext>
            </c:extLst>
          </c:dPt>
          <c:cat>
            <c:strRef>
              <c:f>'data koláče'!$B$53:$B$64</c:f>
              <c:strCache>
                <c:ptCount val="11"/>
                <c:pt idx="0">
                  <c:v>ZEMĚDĚLSTVÍ A LESNÍ HOSPODÁŘSTVÍ</c:v>
                </c:pt>
                <c:pt idx="2">
                  <c:v>PRŮMYSLOVÁ A OSTATNÍ ODVĚTVÍ HOSPODÁŘSTVÍ</c:v>
                </c:pt>
                <c:pt idx="4">
                  <c:v>SLUŽBY PRO OBYVATELSTVO</c:v>
                </c:pt>
                <c:pt idx="6">
                  <c:v>SOCIÁLNÍ VĚCI A POLITIKA ZAMĚSTNANOSTI</c:v>
                </c:pt>
                <c:pt idx="8">
                  <c:v>BEZPEČNOST STÁTU A PRÁVNÍ OCHRANA</c:v>
                </c:pt>
                <c:pt idx="10">
                  <c:v>VŠEOBECNÁ VEŘEJNÁ SPRÁVA A SLUŽBY</c:v>
                </c:pt>
              </c:strCache>
            </c:strRef>
          </c:cat>
          <c:val>
            <c:numRef>
              <c:f>'data koláče'!$C$53:$C$64</c:f>
              <c:numCache>
                <c:formatCode>#,###," tis. Kč"</c:formatCode>
                <c:ptCount val="12"/>
                <c:pt idx="0">
                  <c:v>41926241.689999998</c:v>
                </c:pt>
                <c:pt idx="1">
                  <c:v>0</c:v>
                </c:pt>
                <c:pt idx="2">
                  <c:v>2273859454.9299998</c:v>
                </c:pt>
                <c:pt idx="3">
                  <c:v>0</c:v>
                </c:pt>
                <c:pt idx="4">
                  <c:v>2869274338.1599998</c:v>
                </c:pt>
                <c:pt idx="5">
                  <c:v>0</c:v>
                </c:pt>
                <c:pt idx="6">
                  <c:v>786608392.14999998</c:v>
                </c:pt>
                <c:pt idx="7">
                  <c:v>0</c:v>
                </c:pt>
                <c:pt idx="8">
                  <c:v>533945005.42000002</c:v>
                </c:pt>
                <c:pt idx="9">
                  <c:v>0</c:v>
                </c:pt>
                <c:pt idx="10">
                  <c:v>2859065926.539999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F35E-4F17-9C4C-6B1DB5748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3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softEdge rad="127000"/>
    </a:effectLst>
  </c:spPr>
  <c:txPr>
    <a:bodyPr/>
    <a:lstStyle/>
    <a:p>
      <a:pPr>
        <a:defRPr/>
      </a:pPr>
      <a:endParaRPr lang="cs-CZ"/>
    </a:p>
  </c:tx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přidané hodnoty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(kum)'!$E$28:$E$39</c:f>
              <c:numCache>
                <c:formatCode>#,##0_ ;\-#,##0\ </c:formatCode>
                <c:ptCount val="12"/>
                <c:pt idx="0">
                  <c:v>333202310.63999999</c:v>
                </c:pt>
                <c:pt idx="1">
                  <c:v>726981297.25</c:v>
                </c:pt>
                <c:pt idx="2">
                  <c:v>908356517.37</c:v>
                </c:pt>
                <c:pt idx="3">
                  <c:v>1148782701.8399999</c:v>
                </c:pt>
                <c:pt idx="4">
                  <c:v>1540191455.5699999</c:v>
                </c:pt>
                <c:pt idx="5">
                  <c:v>1825906280.4499998</c:v>
                </c:pt>
                <c:pt idx="6">
                  <c:v>2138484846.0999999</c:v>
                </c:pt>
                <c:pt idx="7">
                  <c:v>2529649124.5099998</c:v>
                </c:pt>
                <c:pt idx="8">
                  <c:v>2791148643.4599996</c:v>
                </c:pt>
                <c:pt idx="9">
                  <c:v>3066921319.6899996</c:v>
                </c:pt>
                <c:pt idx="10">
                  <c:v>3493197432.6299996</c:v>
                </c:pt>
                <c:pt idx="11">
                  <c:v>3838579017.2199998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4C4-413E-9A4B-AA24DBC1C8D6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(kum)'!$F$28:$F$39</c:f>
              <c:numCache>
                <c:formatCode>#,##0_ ;\-#,##0\ </c:formatCode>
                <c:ptCount val="12"/>
                <c:pt idx="0">
                  <c:v>324587583.33333331</c:v>
                </c:pt>
                <c:pt idx="1">
                  <c:v>649175166.66666663</c:v>
                </c:pt>
                <c:pt idx="2">
                  <c:v>973762750</c:v>
                </c:pt>
                <c:pt idx="3">
                  <c:v>1298350333.3333333</c:v>
                </c:pt>
                <c:pt idx="4">
                  <c:v>1622937916.6666665</c:v>
                </c:pt>
                <c:pt idx="5">
                  <c:v>1947525500</c:v>
                </c:pt>
                <c:pt idx="6">
                  <c:v>2272113083.333333</c:v>
                </c:pt>
                <c:pt idx="7">
                  <c:v>2596700666.6666665</c:v>
                </c:pt>
                <c:pt idx="8">
                  <c:v>2921288250</c:v>
                </c:pt>
                <c:pt idx="9">
                  <c:v>3245875833.333333</c:v>
                </c:pt>
                <c:pt idx="10">
                  <c:v>3570463416.6666665</c:v>
                </c:pt>
                <c:pt idx="11">
                  <c:v>3895051000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4C4-413E-9A4B-AA24DBC1C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55680"/>
        <c:axId val="228372416"/>
      </c:lineChart>
      <c:catAx>
        <c:axId val="22765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8372416"/>
        <c:crosses val="autoZero"/>
        <c:auto val="1"/>
        <c:lblAlgn val="ctr"/>
        <c:lblOffset val="100"/>
        <c:noMultiLvlLbl val="0"/>
      </c:catAx>
      <c:valAx>
        <c:axId val="22837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7655680"/>
        <c:crosses val="autoZero"/>
        <c:crossBetween val="between"/>
        <c:majorUnit val="6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plátci </a:t>
            </a:r>
            <a:r>
              <a:rPr lang="cs-CZ" sz="1400" b="1">
                <a:solidFill>
                  <a:srgbClr val="000000"/>
                </a:solidFill>
              </a:rPr>
              <a:t>(motivační*)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(kum)'!$E$8:$E$19</c:f>
              <c:numCache>
                <c:formatCode>#,##0_ ;\-#,##0\ </c:formatCode>
                <c:ptCount val="12"/>
                <c:pt idx="0">
                  <c:v>11820493.530000001</c:v>
                </c:pt>
                <c:pt idx="1">
                  <c:v>22944268</c:v>
                </c:pt>
                <c:pt idx="2">
                  <c:v>32339329.259999998</c:v>
                </c:pt>
                <c:pt idx="3">
                  <c:v>40898842.359999999</c:v>
                </c:pt>
                <c:pt idx="4">
                  <c:v>51363229.719999999</c:v>
                </c:pt>
                <c:pt idx="5">
                  <c:v>62919679.340000004</c:v>
                </c:pt>
                <c:pt idx="6">
                  <c:v>74844065.460000008</c:v>
                </c:pt>
                <c:pt idx="7">
                  <c:v>86569206.510000005</c:v>
                </c:pt>
                <c:pt idx="8">
                  <c:v>96073089.820000008</c:v>
                </c:pt>
                <c:pt idx="9">
                  <c:v>107326476.38000001</c:v>
                </c:pt>
                <c:pt idx="10">
                  <c:v>118796955.11000001</c:v>
                </c:pt>
                <c:pt idx="11">
                  <c:v>131957572.29000002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E80-45F6-96BB-B5EC1AF32BBD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(kum)'!$F$8:$F$19</c:f>
              <c:numCache>
                <c:formatCode>#,##0_ ;\-#,##0\ </c:formatCode>
                <c:ptCount val="12"/>
                <c:pt idx="0">
                  <c:v>10774166.666666666</c:v>
                </c:pt>
                <c:pt idx="1">
                  <c:v>21548333.333333332</c:v>
                </c:pt>
                <c:pt idx="2">
                  <c:v>32322500</c:v>
                </c:pt>
                <c:pt idx="3">
                  <c:v>43096666.666666664</c:v>
                </c:pt>
                <c:pt idx="4">
                  <c:v>53870833.333333328</c:v>
                </c:pt>
                <c:pt idx="5">
                  <c:v>64645000</c:v>
                </c:pt>
                <c:pt idx="6">
                  <c:v>75419166.666666657</c:v>
                </c:pt>
                <c:pt idx="7">
                  <c:v>86193333.333333328</c:v>
                </c:pt>
                <c:pt idx="8">
                  <c:v>96967500</c:v>
                </c:pt>
                <c:pt idx="9">
                  <c:v>107741666.66666666</c:v>
                </c:pt>
                <c:pt idx="10">
                  <c:v>118515833.33333333</c:v>
                </c:pt>
                <c:pt idx="11">
                  <c:v>129290000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E80-45F6-96BB-B5EC1AF32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56704"/>
        <c:axId val="228374144"/>
      </c:lineChart>
      <c:catAx>
        <c:axId val="22765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8374144"/>
        <c:crosses val="autoZero"/>
        <c:auto val="1"/>
        <c:lblAlgn val="ctr"/>
        <c:lblOffset val="100"/>
        <c:noMultiLvlLbl val="0"/>
      </c:catAx>
      <c:valAx>
        <c:axId val="22837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7656704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vybíraná srážkou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(kum)'!$K$8:$K$19</c:f>
              <c:numCache>
                <c:formatCode>#,##0_ ;\-#,##0\ </c:formatCode>
                <c:ptCount val="12"/>
                <c:pt idx="0">
                  <c:v>13739311.300000001</c:v>
                </c:pt>
                <c:pt idx="1">
                  <c:v>29546908.07</c:v>
                </c:pt>
                <c:pt idx="2">
                  <c:v>39352824.640000001</c:v>
                </c:pt>
                <c:pt idx="3">
                  <c:v>50889155.079999998</c:v>
                </c:pt>
                <c:pt idx="4">
                  <c:v>64239730.960000001</c:v>
                </c:pt>
                <c:pt idx="5">
                  <c:v>80016266.260000005</c:v>
                </c:pt>
                <c:pt idx="6">
                  <c:v>99956172.010000005</c:v>
                </c:pt>
                <c:pt idx="7">
                  <c:v>118519799.18000001</c:v>
                </c:pt>
                <c:pt idx="8">
                  <c:v>136444586.56999999</c:v>
                </c:pt>
                <c:pt idx="9">
                  <c:v>153905133.16</c:v>
                </c:pt>
                <c:pt idx="10">
                  <c:v>169043415.87</c:v>
                </c:pt>
                <c:pt idx="11">
                  <c:v>183041506.52000001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9D9-447D-85CA-998D63C343DC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(kum)'!$L$8:$L$19</c:f>
              <c:numCache>
                <c:formatCode>#,##0_ ;\-#,##0\ </c:formatCode>
                <c:ptCount val="12"/>
                <c:pt idx="0">
                  <c:v>13986750</c:v>
                </c:pt>
                <c:pt idx="1">
                  <c:v>27973500</c:v>
                </c:pt>
                <c:pt idx="2">
                  <c:v>41960250</c:v>
                </c:pt>
                <c:pt idx="3">
                  <c:v>55947000</c:v>
                </c:pt>
                <c:pt idx="4">
                  <c:v>69933750</c:v>
                </c:pt>
                <c:pt idx="5">
                  <c:v>83920500</c:v>
                </c:pt>
                <c:pt idx="6">
                  <c:v>97907250</c:v>
                </c:pt>
                <c:pt idx="7">
                  <c:v>111894000</c:v>
                </c:pt>
                <c:pt idx="8">
                  <c:v>125880750</c:v>
                </c:pt>
                <c:pt idx="9">
                  <c:v>139867500</c:v>
                </c:pt>
                <c:pt idx="10">
                  <c:v>153854250</c:v>
                </c:pt>
                <c:pt idx="11">
                  <c:v>167841000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9D9-447D-85CA-998D63C34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57216"/>
        <c:axId val="228375872"/>
      </c:lineChart>
      <c:catAx>
        <c:axId val="22765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8375872"/>
        <c:crosses val="autoZero"/>
        <c:auto val="1"/>
        <c:lblAlgn val="ctr"/>
        <c:lblOffset val="100"/>
        <c:noMultiLvlLbl val="0"/>
      </c:catAx>
      <c:valAx>
        <c:axId val="228375872"/>
        <c:scaling>
          <c:orientation val="minMax"/>
          <c:max val="210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7657216"/>
        <c:crosses val="autoZero"/>
        <c:crossBetween val="between"/>
        <c:majorUnit val="3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Daň z příjmů FO placená poplatníky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(kum)'!$H$8:$H$19</c:f>
              <c:numCache>
                <c:formatCode>#,##0_ ;\-#,##0\ </c:formatCode>
                <c:ptCount val="12"/>
                <c:pt idx="0">
                  <c:v>4799314.12</c:v>
                </c:pt>
                <c:pt idx="1">
                  <c:v>7373566.7800000003</c:v>
                </c:pt>
                <c:pt idx="2">
                  <c:v>12922660.310000001</c:v>
                </c:pt>
                <c:pt idx="3">
                  <c:v>12922660.310000001</c:v>
                </c:pt>
                <c:pt idx="4">
                  <c:v>12922660.310000001</c:v>
                </c:pt>
                <c:pt idx="5">
                  <c:v>12922660.310000001</c:v>
                </c:pt>
                <c:pt idx="6">
                  <c:v>23824448.609999999</c:v>
                </c:pt>
                <c:pt idx="7">
                  <c:v>23824448.609999999</c:v>
                </c:pt>
                <c:pt idx="8">
                  <c:v>30647190.300000001</c:v>
                </c:pt>
                <c:pt idx="9">
                  <c:v>35546582.870000005</c:v>
                </c:pt>
                <c:pt idx="10">
                  <c:v>37725635.130000003</c:v>
                </c:pt>
                <c:pt idx="11">
                  <c:v>54276767.850000001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B6-4EA8-898A-45BC8E0C7061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(kum)'!$I$8:$I$19</c:f>
              <c:numCache>
                <c:formatCode>#,##0_ ;\-#,##0\ </c:formatCode>
                <c:ptCount val="12"/>
                <c:pt idx="0">
                  <c:v>3243166.6666666665</c:v>
                </c:pt>
                <c:pt idx="1">
                  <c:v>6486333.333333333</c:v>
                </c:pt>
                <c:pt idx="2">
                  <c:v>9729500</c:v>
                </c:pt>
                <c:pt idx="3">
                  <c:v>12972666.666666666</c:v>
                </c:pt>
                <c:pt idx="4">
                  <c:v>16215833.333333332</c:v>
                </c:pt>
                <c:pt idx="5">
                  <c:v>19459000</c:v>
                </c:pt>
                <c:pt idx="6">
                  <c:v>22702166.666666664</c:v>
                </c:pt>
                <c:pt idx="7">
                  <c:v>25945333.333333332</c:v>
                </c:pt>
                <c:pt idx="8">
                  <c:v>29188500</c:v>
                </c:pt>
                <c:pt idx="9">
                  <c:v>32431666.666666664</c:v>
                </c:pt>
                <c:pt idx="10">
                  <c:v>35674833.333333328</c:v>
                </c:pt>
                <c:pt idx="11">
                  <c:v>38918000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B6-4EA8-898A-45BC8E0C7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58240"/>
        <c:axId val="227853440"/>
      </c:lineChart>
      <c:catAx>
        <c:axId val="22765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7853440"/>
        <c:crosses val="autoZero"/>
        <c:auto val="1"/>
        <c:lblAlgn val="ctr"/>
        <c:lblOffset val="100"/>
        <c:noMultiLvlLbl val="0"/>
      </c:catAx>
      <c:valAx>
        <c:axId val="227853440"/>
        <c:scaling>
          <c:orientation val="minMax"/>
          <c:max val="56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7658240"/>
        <c:crosses val="autoZero"/>
        <c:crossBetween val="between"/>
        <c:majorUnit val="8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cs-CZ" sz="1800" b="1">
                <a:solidFill>
                  <a:srgbClr val="000000"/>
                </a:solidFill>
              </a:rPr>
              <a:t>Daně</a:t>
            </a:r>
            <a:r>
              <a:rPr lang="cs-CZ" sz="1800" b="1" baseline="0">
                <a:solidFill>
                  <a:srgbClr val="000000"/>
                </a:solidFill>
              </a:rPr>
              <a:t> města v roce 2019 celkem</a:t>
            </a:r>
            <a:endParaRPr lang="cs-CZ" sz="1800" b="1">
              <a:solidFill>
                <a:srgbClr val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skutečnost</c:v>
          </c:tx>
          <c:spPr>
            <a:ln w="254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(kum)'!$H$28:$H$39</c:f>
              <c:numCache>
                <c:formatCode>#,##0_ ;\-#,##0\ </c:formatCode>
                <c:ptCount val="12"/>
                <c:pt idx="0">
                  <c:v>643360163.25999999</c:v>
                </c:pt>
                <c:pt idx="1">
                  <c:v>1239506895.01</c:v>
                </c:pt>
                <c:pt idx="2">
                  <c:v>1871535057.25</c:v>
                </c:pt>
                <c:pt idx="3">
                  <c:v>2351344225.0100002</c:v>
                </c:pt>
                <c:pt idx="4">
                  <c:v>2926427263.6300001</c:v>
                </c:pt>
                <c:pt idx="5">
                  <c:v>3651946915.8299999</c:v>
                </c:pt>
                <c:pt idx="6">
                  <c:v>4539095144.0699997</c:v>
                </c:pt>
                <c:pt idx="7">
                  <c:v>5132088436.6399994</c:v>
                </c:pt>
                <c:pt idx="8">
                  <c:v>5725886862.8199997</c:v>
                </c:pt>
                <c:pt idx="9">
                  <c:v>6345340539.2799997</c:v>
                </c:pt>
                <c:pt idx="10">
                  <c:v>6974474496.8099995</c:v>
                </c:pt>
                <c:pt idx="11">
                  <c:v>7846036640.2800007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274-4F49-AC2A-B9A10B22887D}"/>
            </c:ext>
          </c:extLst>
        </c:ser>
        <c:ser>
          <c:idx val="1"/>
          <c:order val="1"/>
          <c:tx>
            <c:v>plán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rgbClr val="C00000">
                    <a:alpha val="99000"/>
                  </a:srgbClr>
                </a:solidFill>
              </a:ln>
              <a:effectLst/>
            </c:spPr>
          </c:marker>
          <c:cat>
            <c:strRef>
              <c:f>'2019 (kum)'!$A$8:$A$19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'2019 (kum)'!$I$28:$I$39</c:f>
              <c:numCache>
                <c:formatCode>#,##0_ ;\-#,##0\ </c:formatCode>
                <c:ptCount val="12"/>
                <c:pt idx="0">
                  <c:v>646299833.33333337</c:v>
                </c:pt>
                <c:pt idx="1">
                  <c:v>1292599666.6666667</c:v>
                </c:pt>
                <c:pt idx="2">
                  <c:v>1938899500</c:v>
                </c:pt>
                <c:pt idx="3">
                  <c:v>2585199333.3333335</c:v>
                </c:pt>
                <c:pt idx="4">
                  <c:v>3231499166.666667</c:v>
                </c:pt>
                <c:pt idx="5">
                  <c:v>3877799000</c:v>
                </c:pt>
                <c:pt idx="6">
                  <c:v>4524098833.333334</c:v>
                </c:pt>
                <c:pt idx="7">
                  <c:v>5170398666.666667</c:v>
                </c:pt>
                <c:pt idx="8">
                  <c:v>5816698500</c:v>
                </c:pt>
                <c:pt idx="9">
                  <c:v>6462998333.333334</c:v>
                </c:pt>
                <c:pt idx="10">
                  <c:v>7109298166.666667</c:v>
                </c:pt>
                <c:pt idx="11">
                  <c:v>7755598000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274-4F49-AC2A-B9A10B228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659264"/>
        <c:axId val="227855168"/>
      </c:lineChart>
      <c:catAx>
        <c:axId val="22765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7855168"/>
        <c:crosses val="autoZero"/>
        <c:auto val="1"/>
        <c:lblAlgn val="ctr"/>
        <c:lblOffset val="100"/>
        <c:noMultiLvlLbl val="0"/>
      </c:catAx>
      <c:valAx>
        <c:axId val="22785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\ ##0_ ;\-#\ ##0\ 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7659264"/>
        <c:crosses val="autoZero"/>
        <c:crossBetween val="between"/>
        <c:majorUnit val="12000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cap="small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rgbClr val="000000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2600"/>
              <a:t>Struktura </a:t>
            </a:r>
            <a:r>
              <a:rPr lang="cs-CZ" sz="2600"/>
              <a:t>běžných výdajů</a:t>
            </a:r>
            <a:r>
              <a:rPr lang="en-US" sz="2600"/>
              <a:t> </a:t>
            </a:r>
            <a:r>
              <a:rPr lang="cs-CZ" sz="2600"/>
              <a:t>SMO (bez MOb) v roce</a:t>
            </a:r>
            <a:r>
              <a:rPr lang="en-US" sz="2600"/>
              <a:t> 201</a:t>
            </a:r>
            <a:r>
              <a:rPr lang="cs-CZ" sz="2600"/>
              <a:t>9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6937584752429261"/>
          <c:y val="0.15348070159785265"/>
          <c:w val="0.49829181352330959"/>
          <c:h val="0.74108555835619694"/>
        </c:manualLayout>
      </c:layout>
      <c:doughnutChart>
        <c:varyColors val="1"/>
        <c:ser>
          <c:idx val="0"/>
          <c:order val="0"/>
          <c:tx>
            <c:v>Struktura běžných výdajů MMO v roce 2018</c:v>
          </c:tx>
          <c:dPt>
            <c:idx val="0"/>
            <c:bubble3D val="0"/>
            <c:spPr>
              <a:solidFill>
                <a:schemeClr val="accent5">
                  <a:shade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35E-4F17-9C4C-6B1DB5748A3B}"/>
              </c:ext>
            </c:extLst>
          </c:dPt>
          <c:dPt>
            <c:idx val="1"/>
            <c:bubble3D val="0"/>
            <c:spPr>
              <a:solidFill>
                <a:schemeClr val="accent5">
                  <a:shade val="5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35E-4F17-9C4C-6B1DB5748A3B}"/>
              </c:ext>
            </c:extLst>
          </c:dPt>
          <c:dPt>
            <c:idx val="2"/>
            <c:bubble3D val="0"/>
            <c:spPr>
              <a:solidFill>
                <a:schemeClr val="accent5">
                  <a:shade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35E-4F17-9C4C-6B1DB5748A3B}"/>
              </c:ext>
            </c:extLst>
          </c:dPt>
          <c:dPt>
            <c:idx val="3"/>
            <c:bubble3D val="0"/>
            <c:spPr>
              <a:solidFill>
                <a:schemeClr val="accent5">
                  <a:shade val="7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35E-4F17-9C4C-6B1DB5748A3B}"/>
              </c:ext>
            </c:extLst>
          </c:dPt>
          <c:dPt>
            <c:idx val="4"/>
            <c:bubble3D val="0"/>
            <c:spPr>
              <a:solidFill>
                <a:schemeClr val="accent5">
                  <a:shade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35E-4F17-9C4C-6B1DB5748A3B}"/>
              </c:ext>
            </c:extLst>
          </c:dPt>
          <c:dPt>
            <c:idx val="5"/>
            <c:bubble3D val="0"/>
            <c:spPr>
              <a:solidFill>
                <a:schemeClr val="accent5">
                  <a:shade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35E-4F17-9C4C-6B1DB5748A3B}"/>
              </c:ext>
            </c:extLst>
          </c:dPt>
          <c:dPt>
            <c:idx val="6"/>
            <c:bubble3D val="0"/>
            <c:spPr>
              <a:solidFill>
                <a:schemeClr val="accent5">
                  <a:tint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35E-4F17-9C4C-6B1DB5748A3B}"/>
              </c:ext>
            </c:extLst>
          </c:dPt>
          <c:dPt>
            <c:idx val="7"/>
            <c:bubble3D val="0"/>
            <c:spPr>
              <a:solidFill>
                <a:schemeClr val="accent5">
                  <a:tint val="8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35E-4F17-9C4C-6B1DB5748A3B}"/>
              </c:ext>
            </c:extLst>
          </c:dPt>
          <c:dPt>
            <c:idx val="8"/>
            <c:bubble3D val="0"/>
            <c:spPr>
              <a:solidFill>
                <a:schemeClr val="accent5">
                  <a:tint val="7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AD1-4AE3-BA91-4E668AD7982B}"/>
              </c:ext>
            </c:extLst>
          </c:dPt>
          <c:dPt>
            <c:idx val="9"/>
            <c:bubble3D val="0"/>
            <c:spPr>
              <a:solidFill>
                <a:schemeClr val="accent5">
                  <a:tint val="6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AD1-4AE3-BA91-4E668AD7982B}"/>
              </c:ext>
            </c:extLst>
          </c:dPt>
          <c:dPt>
            <c:idx val="10"/>
            <c:bubble3D val="0"/>
            <c:spPr>
              <a:solidFill>
                <a:schemeClr val="accent5">
                  <a:tint val="5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DAD1-4AE3-BA91-4E668AD7982B}"/>
              </c:ext>
            </c:extLst>
          </c:dPt>
          <c:dPt>
            <c:idx val="11"/>
            <c:bubble3D val="0"/>
            <c:spPr>
              <a:solidFill>
                <a:schemeClr val="accent5">
                  <a:tint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DAD1-4AE3-BA91-4E668AD7982B}"/>
              </c:ext>
            </c:extLst>
          </c:dPt>
          <c:cat>
            <c:strRef>
              <c:f>'data koláče'!$B$17:$B$28</c:f>
              <c:strCache>
                <c:ptCount val="11"/>
                <c:pt idx="0">
                  <c:v>ZEMĚDĚLSTVÍ A LESNÍ HOSPODÁŘSTVÍ</c:v>
                </c:pt>
                <c:pt idx="2">
                  <c:v>PRŮMYSLOVÁ A OSTATNÍ ODVĚTVÍ HOSPODÁŘSTVÍ</c:v>
                </c:pt>
                <c:pt idx="4">
                  <c:v>SLUŽBY PRO OBYVATELSTVO</c:v>
                </c:pt>
                <c:pt idx="6">
                  <c:v>SOCIÁLNÍ VĚCI A POLITIKA ZAMĚSTNANOSTI</c:v>
                </c:pt>
                <c:pt idx="8">
                  <c:v>BEZPEČNOST STÁTU A PRÁVNÍ OCHRANA</c:v>
                </c:pt>
                <c:pt idx="10">
                  <c:v>VŠEOBECNÁ VEŘEJNÁ SPRÁVA A SLUŽBY</c:v>
                </c:pt>
              </c:strCache>
            </c:strRef>
          </c:cat>
          <c:val>
            <c:numRef>
              <c:f>'data koláče'!$C$17:$C$28</c:f>
              <c:numCache>
                <c:formatCode>#,###," tis. Kč"</c:formatCode>
                <c:ptCount val="12"/>
                <c:pt idx="0">
                  <c:v>25624809.52</c:v>
                </c:pt>
                <c:pt idx="1">
                  <c:v>0</c:v>
                </c:pt>
                <c:pt idx="2">
                  <c:v>1794351003.27</c:v>
                </c:pt>
                <c:pt idx="3">
                  <c:v>0</c:v>
                </c:pt>
                <c:pt idx="4">
                  <c:v>2064231570.6800001</c:v>
                </c:pt>
                <c:pt idx="5">
                  <c:v>0</c:v>
                </c:pt>
                <c:pt idx="6">
                  <c:v>669741823.76999998</c:v>
                </c:pt>
                <c:pt idx="7">
                  <c:v>0</c:v>
                </c:pt>
                <c:pt idx="8">
                  <c:v>503647362.19</c:v>
                </c:pt>
                <c:pt idx="9">
                  <c:v>0</c:v>
                </c:pt>
                <c:pt idx="10">
                  <c:v>2777632990.5299988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F35E-4F17-9C4C-6B1DB5748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26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softEdge rad="127000"/>
    </a:effectLst>
  </c:spPr>
  <c:txPr>
    <a:bodyPr/>
    <a:lstStyle/>
    <a:p>
      <a:pPr>
        <a:defRPr/>
      </a:pPr>
      <a:endParaRPr lang="cs-CZ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2500"/>
              <a:t>Struktura </a:t>
            </a:r>
            <a:r>
              <a:rPr lang="cs-CZ" sz="2500"/>
              <a:t>kapitálových výdajů</a:t>
            </a:r>
            <a:r>
              <a:rPr lang="en-US" sz="2500"/>
              <a:t> </a:t>
            </a:r>
            <a:r>
              <a:rPr lang="cs-CZ" sz="2500"/>
              <a:t>SMO (bez MOb) v roce</a:t>
            </a:r>
            <a:r>
              <a:rPr lang="cs-CZ" sz="2500" baseline="0"/>
              <a:t> </a:t>
            </a:r>
            <a:r>
              <a:rPr lang="en-US" sz="2500"/>
              <a:t>201</a:t>
            </a:r>
            <a:r>
              <a:rPr lang="cs-CZ" sz="2500"/>
              <a:t>9</a:t>
            </a:r>
            <a:endParaRPr lang="en-US" sz="2500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6937584752429261"/>
          <c:y val="0.15348070159785265"/>
          <c:w val="0.49829181352330959"/>
          <c:h val="0.74108555835619694"/>
        </c:manualLayout>
      </c:layout>
      <c:doughnutChart>
        <c:varyColors val="1"/>
        <c:ser>
          <c:idx val="0"/>
          <c:order val="0"/>
          <c:tx>
            <c:v>Struktura kapitálových výdajů MMO v roce 2018</c:v>
          </c:tx>
          <c:dPt>
            <c:idx val="0"/>
            <c:bubble3D val="0"/>
            <c:spPr>
              <a:solidFill>
                <a:schemeClr val="accent5">
                  <a:shade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35E-4F17-9C4C-6B1DB5748A3B}"/>
              </c:ext>
            </c:extLst>
          </c:dPt>
          <c:dPt>
            <c:idx val="1"/>
            <c:bubble3D val="0"/>
            <c:spPr>
              <a:solidFill>
                <a:schemeClr val="accent5">
                  <a:shade val="5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35E-4F17-9C4C-6B1DB5748A3B}"/>
              </c:ext>
            </c:extLst>
          </c:dPt>
          <c:dPt>
            <c:idx val="2"/>
            <c:bubble3D val="0"/>
            <c:spPr>
              <a:solidFill>
                <a:schemeClr val="accent5">
                  <a:shade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35E-4F17-9C4C-6B1DB5748A3B}"/>
              </c:ext>
            </c:extLst>
          </c:dPt>
          <c:dPt>
            <c:idx val="3"/>
            <c:bubble3D val="0"/>
            <c:spPr>
              <a:solidFill>
                <a:schemeClr val="accent5">
                  <a:shade val="7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35E-4F17-9C4C-6B1DB5748A3B}"/>
              </c:ext>
            </c:extLst>
          </c:dPt>
          <c:dPt>
            <c:idx val="4"/>
            <c:bubble3D val="0"/>
            <c:spPr>
              <a:solidFill>
                <a:schemeClr val="accent5">
                  <a:shade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35E-4F17-9C4C-6B1DB5748A3B}"/>
              </c:ext>
            </c:extLst>
          </c:dPt>
          <c:dPt>
            <c:idx val="5"/>
            <c:bubble3D val="0"/>
            <c:spPr>
              <a:solidFill>
                <a:schemeClr val="accent5">
                  <a:shade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35E-4F17-9C4C-6B1DB5748A3B}"/>
              </c:ext>
            </c:extLst>
          </c:dPt>
          <c:dPt>
            <c:idx val="6"/>
            <c:bubble3D val="0"/>
            <c:spPr>
              <a:solidFill>
                <a:schemeClr val="accent5">
                  <a:tint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35E-4F17-9C4C-6B1DB5748A3B}"/>
              </c:ext>
            </c:extLst>
          </c:dPt>
          <c:dPt>
            <c:idx val="7"/>
            <c:bubble3D val="0"/>
            <c:spPr>
              <a:solidFill>
                <a:schemeClr val="accent5">
                  <a:tint val="8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35E-4F17-9C4C-6B1DB5748A3B}"/>
              </c:ext>
            </c:extLst>
          </c:dPt>
          <c:dPt>
            <c:idx val="8"/>
            <c:bubble3D val="0"/>
            <c:spPr>
              <a:solidFill>
                <a:schemeClr val="accent5">
                  <a:tint val="7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A50-4E25-A99D-F39E31EDAC11}"/>
              </c:ext>
            </c:extLst>
          </c:dPt>
          <c:dPt>
            <c:idx val="9"/>
            <c:bubble3D val="0"/>
            <c:spPr>
              <a:solidFill>
                <a:schemeClr val="accent5">
                  <a:tint val="6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A50-4E25-A99D-F39E31EDAC11}"/>
              </c:ext>
            </c:extLst>
          </c:dPt>
          <c:dPt>
            <c:idx val="10"/>
            <c:bubble3D val="0"/>
            <c:spPr>
              <a:solidFill>
                <a:schemeClr val="accent5">
                  <a:tint val="5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AA50-4E25-A99D-F39E31EDAC11}"/>
              </c:ext>
            </c:extLst>
          </c:dPt>
          <c:dPt>
            <c:idx val="11"/>
            <c:bubble3D val="0"/>
            <c:spPr>
              <a:solidFill>
                <a:schemeClr val="accent5">
                  <a:tint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AA50-4E25-A99D-F39E31EDAC11}"/>
              </c:ext>
            </c:extLst>
          </c:dPt>
          <c:cat>
            <c:strRef>
              <c:f>'data koláče'!$B$35:$B$46</c:f>
              <c:strCache>
                <c:ptCount val="11"/>
                <c:pt idx="0">
                  <c:v>ZEMĚDĚLSTVÍ A LESNÍ HOSPODÁŘSTVÍ</c:v>
                </c:pt>
                <c:pt idx="2">
                  <c:v>PRŮMYSLOVÁ A OSTATNÍ ODVĚTVÍ HOSPODÁŘSTVÍ</c:v>
                </c:pt>
                <c:pt idx="4">
                  <c:v>BEZPEČNOST STÁTU A PRÁVNÍ OCHRANA</c:v>
                </c:pt>
                <c:pt idx="6">
                  <c:v>SOCIÁLNÍ VĚCI A POLITIKA ZAMĚSTNANOSTI</c:v>
                </c:pt>
                <c:pt idx="8">
                  <c:v>SLUŽBY PRO OBYVATELSTVO</c:v>
                </c:pt>
                <c:pt idx="10">
                  <c:v>VŠEOBECNÁ VEŘEJNÁ SPRÁVA A SLUŽBY</c:v>
                </c:pt>
              </c:strCache>
            </c:strRef>
          </c:cat>
          <c:val>
            <c:numRef>
              <c:f>'data koláče'!$C$35:$C$46</c:f>
              <c:numCache>
                <c:formatCode>#,###," tis. Kč"</c:formatCode>
                <c:ptCount val="12"/>
                <c:pt idx="0">
                  <c:v>16301432.17</c:v>
                </c:pt>
                <c:pt idx="1">
                  <c:v>0</c:v>
                </c:pt>
                <c:pt idx="2">
                  <c:v>479508451.66000003</c:v>
                </c:pt>
                <c:pt idx="3">
                  <c:v>0</c:v>
                </c:pt>
                <c:pt idx="4">
                  <c:v>30297643.23</c:v>
                </c:pt>
                <c:pt idx="5">
                  <c:v>0</c:v>
                </c:pt>
                <c:pt idx="6">
                  <c:v>116866568.38</c:v>
                </c:pt>
                <c:pt idx="7">
                  <c:v>0</c:v>
                </c:pt>
                <c:pt idx="8">
                  <c:v>805042767.48000002</c:v>
                </c:pt>
                <c:pt idx="9">
                  <c:v>0</c:v>
                </c:pt>
                <c:pt idx="10">
                  <c:v>81432936.010000005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F35E-4F17-9C4C-6B1DB5748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softEdge rad="127000"/>
    </a:effectLst>
  </c:spPr>
  <c:txPr>
    <a:bodyPr/>
    <a:lstStyle/>
    <a:p>
      <a:pPr>
        <a:defRPr/>
      </a:pPr>
      <a:endParaRPr lang="cs-CZ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2400" b="1">
                <a:solidFill>
                  <a:sysClr val="windowText" lastClr="000000"/>
                </a:solidFill>
              </a:rPr>
              <a:t>Vývoj</a:t>
            </a:r>
            <a:r>
              <a:rPr lang="cs-CZ" sz="2400" b="1" baseline="0">
                <a:solidFill>
                  <a:sysClr val="windowText" lastClr="000000"/>
                </a:solidFill>
              </a:rPr>
              <a:t> běžných výdajů Statutárního města Ostravy (bez MOb)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="1" baseline="0">
                <a:solidFill>
                  <a:sysClr val="windowText" lastClr="000000"/>
                </a:solidFill>
              </a:rPr>
              <a:t>(včetně meziročních změn v %)</a:t>
            </a:r>
            <a:endParaRPr lang="en-US" sz="1400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výdaje'!$A$6</c:f>
              <c:strCache>
                <c:ptCount val="1"/>
                <c:pt idx="0">
                  <c:v>běžné výdaje</c:v>
                </c:pt>
              </c:strCache>
            </c:strRef>
          </c:tx>
          <c:spPr>
            <a:solidFill>
              <a:srgbClr val="00ADD0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strRef>
                  <c:f>'data výdaje'!$E$13</c:f>
                  <c:strCache>
                    <c:ptCount val="1"/>
                    <c:pt idx="0">
                      <c:v>-9,4 %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{F822D38F-B0A8-4A60-9AE5-F33F225F0DA0}</c15:txfldGUID>
                      <c15:f>'data výdaje'!$D$12</c15:f>
                      <c15:dlblFieldTableCache>
                        <c:ptCount val="1"/>
                        <c:pt idx="0">
                          <c:v>-10,1%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0-D4C1-4758-B7BF-61B6F09EC455}"/>
                </c:ext>
              </c:extLst>
            </c:dLbl>
            <c:dLbl>
              <c:idx val="1"/>
              <c:layout/>
              <c:tx>
                <c:strRef>
                  <c:f>'data výdaje'!$F$13</c:f>
                  <c:strCache>
                    <c:ptCount val="1"/>
                    <c:pt idx="0">
                      <c:v>6,8 %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'data výdaje'!$G$13</c:f>
                  <c:strCache>
                    <c:ptCount val="1"/>
                    <c:pt idx="0">
                      <c:v>4,4 %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{0319296D-A7F3-454C-8472-3D69E1936DFB}</c15:txfldGUID>
                      <c15:f>'data výdaje'!$F$12</c15:f>
                      <c15:dlblFieldTableCache>
                        <c:ptCount val="1"/>
                        <c:pt idx="0">
                          <c:v>6,8%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2-D4C1-4758-B7BF-61B6F09EC455}"/>
                </c:ext>
              </c:extLst>
            </c:dLbl>
            <c:dLbl>
              <c:idx val="3"/>
              <c:layout/>
              <c:tx>
                <c:strRef>
                  <c:f>'data výdaje'!$H$13</c:f>
                  <c:strCache>
                    <c:ptCount val="1"/>
                    <c:pt idx="0">
                      <c:v>-9,8 %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{C8F9E99A-AA19-4F4B-B807-812255D688FE}</c15:txfldGUID>
                      <c15:f>'data výdaje'!$G$12</c15:f>
                      <c15:dlblFieldTableCache>
                        <c:ptCount val="1"/>
                        <c:pt idx="0">
                          <c:v>4,4%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3-D4C1-4758-B7BF-61B6F09EC455}"/>
                </c:ext>
              </c:extLst>
            </c:dLbl>
            <c:dLbl>
              <c:idx val="4"/>
              <c:layout/>
              <c:tx>
                <c:strRef>
                  <c:f>'data výdaje'!$I$13</c:f>
                  <c:strCache>
                    <c:ptCount val="1"/>
                    <c:pt idx="0">
                      <c:v>3,6 %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{7A37080C-CE70-46A3-897F-13E2D415F8E8}</c15:txfldGUID>
                      <c15:f>'data výdaje'!$H$12</c15:f>
                      <c15:dlblFieldTableCache>
                        <c:ptCount val="1"/>
                        <c:pt idx="0">
                          <c:v>-9,8%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4-D4C1-4758-B7BF-61B6F09EC455}"/>
                </c:ext>
              </c:extLst>
            </c:dLbl>
            <c:dLbl>
              <c:idx val="5"/>
              <c:layout/>
              <c:tx>
                <c:strRef>
                  <c:f>'data výdaje'!$J$13</c:f>
                  <c:strCache>
                    <c:ptCount val="1"/>
                    <c:pt idx="0">
                      <c:v>12,0 %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{99F699DA-AA5F-47BE-B214-9517A2F8A384}</c15:txfldGUID>
                      <c15:f>'data výdaje'!$I$12</c15:f>
                      <c15:dlblFieldTableCache>
                        <c:ptCount val="1"/>
                        <c:pt idx="0">
                          <c:v>3,6%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5-D4C1-4758-B7BF-61B6F09EC455}"/>
                </c:ext>
              </c:extLst>
            </c:dLbl>
            <c:dLbl>
              <c:idx val="6"/>
              <c:layout/>
              <c:tx>
                <c:strRef>
                  <c:f>'data výdaje'!$K$13</c:f>
                  <c:strCache>
                    <c:ptCount val="1"/>
                    <c:pt idx="0">
                      <c:v>9,3 %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{FFCB6424-54BE-4928-A5C1-2878FA21C147}</c15:txfldGUID>
                      <c15:f>'data výdaje'!$J$12</c15:f>
                      <c15:dlblFieldTableCache>
                        <c:ptCount val="1"/>
                        <c:pt idx="0">
                          <c:v>12,0%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6-D4C1-4758-B7BF-61B6F09EC455}"/>
                </c:ext>
              </c:extLst>
            </c:dLbl>
            <c:dLbl>
              <c:idx val="7"/>
              <c:layout/>
              <c:tx>
                <c:strRef>
                  <c:f>'data výdaje'!$L$13</c:f>
                  <c:strCache>
                    <c:ptCount val="1"/>
                    <c:pt idx="0">
                      <c:v>7,4 %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{AE0A768B-31A2-457B-BB82-A94D7C3E8007}</c15:txfldGUID>
                      <c15:f>'data výdaje'!$K$12</c15:f>
                      <c15:dlblFieldTableCache>
                        <c:ptCount val="1"/>
                        <c:pt idx="0">
                          <c:v>9,3%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7-D4C1-4758-B7BF-61B6F09EC455}"/>
                </c:ext>
              </c:extLst>
            </c:dLbl>
            <c:dLbl>
              <c:idx val="8"/>
              <c:tx>
                <c:strRef>
                  <c:f>'data výdaje'!$K$13</c:f>
                  <c:strCache>
                    <c:ptCount val="1"/>
                    <c:pt idx="0">
                      <c:v>9,3 %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{12774C8A-85D9-48F0-8048-C88BB817E153}</c15:txfldGUID>
                      <c15:f>'data výdaje'!$K$12</c15:f>
                      <c15:dlblFieldTableCache>
                        <c:ptCount val="1"/>
                        <c:pt idx="0">
                          <c:v>9,3%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E38B-4990-B534-A56D0DDFFE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výdaje'!$E$4:$L$4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'data výdaje'!$E$6:$L$6</c:f>
              <c:numCache>
                <c:formatCode>#,##0</c:formatCode>
                <c:ptCount val="8"/>
                <c:pt idx="0">
                  <c:v>5459294846.5200024</c:v>
                </c:pt>
                <c:pt idx="1">
                  <c:v>5831442006.8499985</c:v>
                </c:pt>
                <c:pt idx="2">
                  <c:v>6088027414.4300022</c:v>
                </c:pt>
                <c:pt idx="3">
                  <c:v>5490308529.5900002</c:v>
                </c:pt>
                <c:pt idx="4">
                  <c:v>5689619091.0599995</c:v>
                </c:pt>
                <c:pt idx="5">
                  <c:v>6374646776.1499987</c:v>
                </c:pt>
                <c:pt idx="6">
                  <c:v>6964995760.8400002</c:v>
                </c:pt>
                <c:pt idx="7">
                  <c:v>7480668044.6300011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datalabelsRange>
                <c15:f>'[2]pomocné tabulky'!$B$12:$I$12</c15:f>
                <c15:dlblRangeCache>
                  <c:ptCount val="8"/>
                  <c:pt idx="0">
                    <c:v>#ODKAZ!</c:v>
                  </c:pt>
                  <c:pt idx="1">
                    <c:v>#ODKAZ!</c:v>
                  </c:pt>
                  <c:pt idx="2">
                    <c:v>#ODKAZ!</c:v>
                  </c:pt>
                  <c:pt idx="3">
                    <c:v>#ODKAZ!</c:v>
                  </c:pt>
                  <c:pt idx="4">
                    <c:v>#ODKAZ!</c:v>
                  </c:pt>
                  <c:pt idx="5">
                    <c:v>#ODKAZ!</c:v>
                  </c:pt>
                  <c:pt idx="6">
                    <c:v>#ODKAZ!</c:v>
                  </c:pt>
                  <c:pt idx="7">
                    <c:v>#ODKAZ!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D4C1-4758-B7BF-61B6F09E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150681088"/>
        <c:axId val="150931136"/>
      </c:barChart>
      <c:catAx>
        <c:axId val="15068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0931136"/>
        <c:crosses val="autoZero"/>
        <c:auto val="1"/>
        <c:lblAlgn val="ctr"/>
        <c:lblOffset val="100"/>
        <c:noMultiLvlLbl val="0"/>
      </c:catAx>
      <c:valAx>
        <c:axId val="15093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0681088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2200" b="1">
                <a:solidFill>
                  <a:sysClr val="windowText" lastClr="000000"/>
                </a:solidFill>
              </a:rPr>
              <a:t>Vývoj</a:t>
            </a:r>
            <a:r>
              <a:rPr lang="cs-CZ" sz="2200" b="1" baseline="0">
                <a:solidFill>
                  <a:sysClr val="windowText" lastClr="000000"/>
                </a:solidFill>
              </a:rPr>
              <a:t> kapitálových výdajů Statutárního města Ostravy (bez MOb)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="1" baseline="0">
                <a:solidFill>
                  <a:sysClr val="windowText" lastClr="000000"/>
                </a:solidFill>
              </a:rPr>
              <a:t>(včetně meziročních změn v %)</a:t>
            </a:r>
            <a:endParaRPr lang="en-US" sz="1400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výdaje'!$A$5</c:f>
              <c:strCache>
                <c:ptCount val="1"/>
                <c:pt idx="0">
                  <c:v>kapitálové výdaje</c:v>
                </c:pt>
              </c:strCache>
            </c:strRef>
          </c:tx>
          <c:spPr>
            <a:solidFill>
              <a:srgbClr val="003C69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strRef>
                  <c:f>'data výdaje'!$E$12</c:f>
                  <c:strCache>
                    <c:ptCount val="1"/>
                    <c:pt idx="0">
                      <c:v>59,6 %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{A9DDB258-9FD6-4F94-A0F2-D2AFE7E7B67D}</c15:txfldGUID>
                      <c15:f>'data výdaje'!$D$11</c15:f>
                      <c15:dlblFieldTableCache>
                        <c:ptCount val="1"/>
                        <c:pt idx="0">
                          <c:v>-14,2%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5-9089-4E23-9090-051382D4F7CF}"/>
                </c:ext>
              </c:extLst>
            </c:dLbl>
            <c:dLbl>
              <c:idx val="1"/>
              <c:layout/>
              <c:tx>
                <c:strRef>
                  <c:f>'data výdaje'!$F$12</c:f>
                  <c:strCache>
                    <c:ptCount val="1"/>
                    <c:pt idx="0">
                      <c:v>13,7 %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{E3CAB5A5-2CE5-451B-AF11-F9983ECC9732}</c15:txfldGUID>
                      <c15:f>'data výdaje'!$E$11</c15:f>
                      <c15:dlblFieldTableCache>
                        <c:ptCount val="1"/>
                        <c:pt idx="0">
                          <c:v>59,6%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8AD6-4A46-BBC7-990CA3F5645D}"/>
                </c:ext>
              </c:extLst>
            </c:dLbl>
            <c:dLbl>
              <c:idx val="2"/>
              <c:layout/>
              <c:tx>
                <c:strRef>
                  <c:f>'data výdaje'!$G$12</c:f>
                  <c:strCache>
                    <c:ptCount val="1"/>
                    <c:pt idx="0">
                      <c:v>-17,7 %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{B415CBF3-E8D0-4CF6-8B69-271C6C90F692}</c15:txfldGUID>
                      <c15:f>'data výdaje'!$F$11</c15:f>
                      <c15:dlblFieldTableCache>
                        <c:ptCount val="1"/>
                        <c:pt idx="0">
                          <c:v>13,7%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6-9089-4E23-9090-051382D4F7CF}"/>
                </c:ext>
              </c:extLst>
            </c:dLbl>
            <c:dLbl>
              <c:idx val="3"/>
              <c:layout/>
              <c:tx>
                <c:strRef>
                  <c:f>'data výdaje'!$H$12</c:f>
                  <c:strCache>
                    <c:ptCount val="1"/>
                    <c:pt idx="0">
                      <c:v>-26,5 %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{0589F2AD-6260-47E8-A998-FEE3CA1969C4}</c15:txfldGUID>
                      <c15:f>'data výdaje'!$G$11</c15:f>
                      <c15:dlblFieldTableCache>
                        <c:ptCount val="1"/>
                        <c:pt idx="0">
                          <c:v>-17,7%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7-9089-4E23-9090-051382D4F7CF}"/>
                </c:ext>
              </c:extLst>
            </c:dLbl>
            <c:dLbl>
              <c:idx val="4"/>
              <c:layout/>
              <c:tx>
                <c:strRef>
                  <c:f>'data výdaje'!$I$12</c:f>
                  <c:strCache>
                    <c:ptCount val="1"/>
                    <c:pt idx="0">
                      <c:v>-21,1 %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{D0E41C94-E518-48D2-A772-E475FFAA5BC0}</c15:txfldGUID>
                      <c15:f>'data výdaje'!$H$11</c15:f>
                      <c15:dlblFieldTableCache>
                        <c:ptCount val="1"/>
                        <c:pt idx="0">
                          <c:v>-26,5%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2-9089-4E23-9090-051382D4F7CF}"/>
                </c:ext>
              </c:extLst>
            </c:dLbl>
            <c:dLbl>
              <c:idx val="5"/>
              <c:layout/>
              <c:tx>
                <c:strRef>
                  <c:f>'data výdaje'!$J$12</c:f>
                  <c:strCache>
                    <c:ptCount val="1"/>
                    <c:pt idx="0">
                      <c:v>12,1 %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{8578D03D-8582-4A81-BD75-4FAB4FAB300B}</c15:txfldGUID>
                      <c15:f>'data výdaje'!$I$11</c15:f>
                      <c15:dlblFieldTableCache>
                        <c:ptCount val="1"/>
                        <c:pt idx="0">
                          <c:v>-21,1%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3-9089-4E23-9090-051382D4F7CF}"/>
                </c:ext>
              </c:extLst>
            </c:dLbl>
            <c:dLbl>
              <c:idx val="6"/>
              <c:layout/>
              <c:tx>
                <c:strRef>
                  <c:f>'data výdaje'!$K$12</c:f>
                  <c:strCache>
                    <c:ptCount val="1"/>
                    <c:pt idx="0">
                      <c:v>32,2 %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{B0B529CB-8D60-4CD3-9E12-9BA07EE03C8B}</c15:txfldGUID>
                      <c15:f>'data výdaje'!$J$11</c15:f>
                      <c15:dlblFieldTableCache>
                        <c:ptCount val="1"/>
                        <c:pt idx="0">
                          <c:v>12,1%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4-9089-4E23-9090-051382D4F7CF}"/>
                </c:ext>
              </c:extLst>
            </c:dLbl>
            <c:dLbl>
              <c:idx val="7"/>
              <c:layout/>
              <c:tx>
                <c:strRef>
                  <c:f>'data výdaje'!$L$12</c:f>
                  <c:strCache>
                    <c:ptCount val="1"/>
                    <c:pt idx="0">
                      <c:v>0,7 %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{157111F6-4AFC-4FA1-B731-1CFDAD370F95}</c15:txfldGUID>
                      <c15:f>'data výdaje'!$K$11</c15:f>
                      <c15:dlblFieldTableCache>
                        <c:ptCount val="1"/>
                        <c:pt idx="0">
                          <c:v>32,2%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8-9089-4E23-9090-051382D4F7CF}"/>
                </c:ext>
              </c:extLst>
            </c:dLbl>
            <c:dLbl>
              <c:idx val="8"/>
              <c:tx>
                <c:strRef>
                  <c:f>'data výdaje'!$K$12</c:f>
                  <c:strCache>
                    <c:ptCount val="1"/>
                    <c:pt idx="0">
                      <c:v>32,2 %</c:v>
                    </c:pt>
                  </c:strCache>
                </c:strRef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{5DF78141-BBBD-4E58-BF24-CA3E7F8352B4}</c15:txfldGUID>
                      <c15:f>'data výdaje'!$K$11</c15:f>
                      <c15:dlblFieldTableCache>
                        <c:ptCount val="1"/>
                        <c:pt idx="0">
                          <c:v>32,2%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8AD6-4A46-BBC7-990CA3F564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výdaje'!$E$4:$L$4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'data výdaje'!$E$5:$L$5</c:f>
              <c:numCache>
                <c:formatCode>#,##0</c:formatCode>
                <c:ptCount val="8"/>
                <c:pt idx="0">
                  <c:v>2326441355.0799999</c:v>
                </c:pt>
                <c:pt idx="1">
                  <c:v>2645598545.1399999</c:v>
                </c:pt>
                <c:pt idx="2">
                  <c:v>2178472023</c:v>
                </c:pt>
                <c:pt idx="3">
                  <c:v>1601170854.78</c:v>
                </c:pt>
                <c:pt idx="4">
                  <c:v>1263752513.2</c:v>
                </c:pt>
                <c:pt idx="5">
                  <c:v>1416062342.0700002</c:v>
                </c:pt>
                <c:pt idx="6">
                  <c:v>1871522372.79</c:v>
                </c:pt>
                <c:pt idx="7">
                  <c:v>1884011314.26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datalabelsRange>
                <c15:f>'[2]pomocné tabulky'!$B$11:$I$11</c15:f>
                <c15:dlblRangeCache>
                  <c:ptCount val="8"/>
                  <c:pt idx="0">
                    <c:v>#ODKAZ!</c:v>
                  </c:pt>
                  <c:pt idx="1">
                    <c:v>#ODKAZ!</c:v>
                  </c:pt>
                  <c:pt idx="2">
                    <c:v>#ODKAZ!</c:v>
                  </c:pt>
                  <c:pt idx="3">
                    <c:v>#ODKAZ!</c:v>
                  </c:pt>
                  <c:pt idx="4">
                    <c:v>#ODKAZ!</c:v>
                  </c:pt>
                  <c:pt idx="5">
                    <c:v>#ODKAZ!</c:v>
                  </c:pt>
                  <c:pt idx="6">
                    <c:v>#ODKAZ!</c:v>
                  </c:pt>
                  <c:pt idx="7">
                    <c:v>#ODKAZ!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089-4E23-9090-051382D4F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150641152"/>
        <c:axId val="150934016"/>
      </c:barChart>
      <c:catAx>
        <c:axId val="15064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0934016"/>
        <c:crosses val="autoZero"/>
        <c:auto val="1"/>
        <c:lblAlgn val="ctr"/>
        <c:lblOffset val="100"/>
        <c:noMultiLvlLbl val="0"/>
      </c:catAx>
      <c:valAx>
        <c:axId val="15093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0641152"/>
        <c:crosses val="autoZero"/>
        <c:crossBetween val="between"/>
        <c:majorUnit val="30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2400" b="1">
                <a:solidFill>
                  <a:schemeClr val="tx1"/>
                </a:solidFill>
              </a:rPr>
              <a:t>Vývoj podílu běžných a kapitálových výdajů SMO</a:t>
            </a:r>
            <a:r>
              <a:rPr lang="cs-CZ" sz="2400" b="1" baseline="0">
                <a:solidFill>
                  <a:schemeClr val="tx1"/>
                </a:solidFill>
              </a:rPr>
              <a:t> (bez MOb)</a:t>
            </a:r>
            <a:endParaRPr lang="cs-CZ" sz="24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'data výdaje'!$A$5</c:f>
              <c:strCache>
                <c:ptCount val="1"/>
                <c:pt idx="0">
                  <c:v>kapitálové výdaje</c:v>
                </c:pt>
              </c:strCache>
            </c:strRef>
          </c:tx>
          <c:spPr>
            <a:solidFill>
              <a:srgbClr val="003C69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strRef>
                  <c:f>'data výdaje'!$E$9</c:f>
                  <c:strCache>
                    <c:ptCount val="1"/>
                    <c:pt idx="0">
                      <c:v>29,9 %</c:v>
                    </c:pt>
                  </c:strCache>
                </c:strRef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{FE960873-BEEC-4A99-893E-2D8EECF25C19}</c15:txfldGUID>
                      <c15:f>'data výdaje'!$C$8</c15:f>
                      <c15:dlblFieldTableCache>
                        <c:ptCount val="1"/>
                        <c:pt idx="0">
                          <c:v>20,2%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A-B18E-442D-BBBE-04E8FA1F41D9}"/>
                </c:ext>
              </c:extLst>
            </c:dLbl>
            <c:dLbl>
              <c:idx val="1"/>
              <c:layout/>
              <c:tx>
                <c:strRef>
                  <c:f>'data výdaje'!$F$9</c:f>
                  <c:strCache>
                    <c:ptCount val="1"/>
                    <c:pt idx="0">
                      <c:v>31,2 %</c:v>
                    </c:pt>
                  </c:strCache>
                </c:strRef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B18E-442D-BBBE-04E8FA1F41D9}"/>
                </c:ext>
              </c:extLst>
            </c:dLbl>
            <c:dLbl>
              <c:idx val="2"/>
              <c:layout/>
              <c:tx>
                <c:strRef>
                  <c:f>'data výdaje'!$G$9</c:f>
                  <c:strCache>
                    <c:ptCount val="1"/>
                    <c:pt idx="0">
                      <c:v>26,4 %</c:v>
                    </c:pt>
                  </c:strCache>
                </c:strRef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B18E-442D-BBBE-04E8FA1F41D9}"/>
                </c:ext>
              </c:extLst>
            </c:dLbl>
            <c:dLbl>
              <c:idx val="3"/>
              <c:layout/>
              <c:tx>
                <c:strRef>
                  <c:f>'data výdaje'!$H$9</c:f>
                  <c:strCache>
                    <c:ptCount val="1"/>
                    <c:pt idx="0">
                      <c:v>22,6 %</c:v>
                    </c:pt>
                  </c:strCache>
                </c:strRef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B18E-442D-BBBE-04E8FA1F41D9}"/>
                </c:ext>
              </c:extLst>
            </c:dLbl>
            <c:dLbl>
              <c:idx val="4"/>
              <c:layout/>
              <c:tx>
                <c:strRef>
                  <c:f>'data výdaje'!$I$9</c:f>
                  <c:strCache>
                    <c:ptCount val="1"/>
                    <c:pt idx="0">
                      <c:v>18,2 %</c:v>
                    </c:pt>
                  </c:strCache>
                </c:strRef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B18E-442D-BBBE-04E8FA1F41D9}"/>
                </c:ext>
              </c:extLst>
            </c:dLbl>
            <c:dLbl>
              <c:idx val="5"/>
              <c:layout/>
              <c:tx>
                <c:strRef>
                  <c:f>'data výdaje'!$J$9</c:f>
                  <c:strCache>
                    <c:ptCount val="1"/>
                    <c:pt idx="0">
                      <c:v>18,2 %</c:v>
                    </c:pt>
                  </c:strCache>
                </c:strRef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B18E-442D-BBBE-04E8FA1F41D9}"/>
                </c:ext>
              </c:extLst>
            </c:dLbl>
            <c:dLbl>
              <c:idx val="6"/>
              <c:layout/>
              <c:tx>
                <c:strRef>
                  <c:f>'data výdaje'!$K$9</c:f>
                  <c:strCache>
                    <c:ptCount val="1"/>
                    <c:pt idx="0">
                      <c:v>21,2 %</c:v>
                    </c:pt>
                  </c:strCache>
                </c:strRef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B18E-442D-BBBE-04E8FA1F41D9}"/>
                </c:ext>
              </c:extLst>
            </c:dLbl>
            <c:dLbl>
              <c:idx val="7"/>
              <c:layout/>
              <c:tx>
                <c:strRef>
                  <c:f>'data výdaje'!$L$9</c:f>
                  <c:strCache>
                    <c:ptCount val="1"/>
                    <c:pt idx="0">
                      <c:v>20,1 %</c:v>
                    </c:pt>
                  </c:strCache>
                </c:strRef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B18E-442D-BBBE-04E8FA1F41D9}"/>
                </c:ext>
              </c:extLst>
            </c:dLbl>
            <c:dLbl>
              <c:idx val="8"/>
              <c:tx>
                <c:strRef>
                  <c:f>'data výdaje'!$K$9</c:f>
                  <c:strCache>
                    <c:ptCount val="1"/>
                    <c:pt idx="0">
                      <c:v>21,2 %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{AEC932D7-CB22-4601-BCA5-32B8CA7B3F6D}</c15:txfldGUID>
                      <c15:f>'data výdaje'!$K$8</c15:f>
                      <c15:dlblFieldTableCache>
                        <c:ptCount val="1"/>
                        <c:pt idx="0">
                          <c:v>21,2%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CB30-4929-8250-CC753132ED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výdaje'!$E$4:$L$4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'data výdaje'!$E$5:$L$5</c:f>
              <c:numCache>
                <c:formatCode>#,##0</c:formatCode>
                <c:ptCount val="8"/>
                <c:pt idx="0">
                  <c:v>2326441355.0799999</c:v>
                </c:pt>
                <c:pt idx="1">
                  <c:v>2645598545.1399999</c:v>
                </c:pt>
                <c:pt idx="2">
                  <c:v>2178472023</c:v>
                </c:pt>
                <c:pt idx="3">
                  <c:v>1601170854.78</c:v>
                </c:pt>
                <c:pt idx="4">
                  <c:v>1263752513.2</c:v>
                </c:pt>
                <c:pt idx="5">
                  <c:v>1416062342.0700002</c:v>
                </c:pt>
                <c:pt idx="6">
                  <c:v>1871522372.79</c:v>
                </c:pt>
                <c:pt idx="7">
                  <c:v>1884011314.26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datalabelsRange>
                <c15:f>'[2]pomocné tabulky'!$B$8:$I$8</c15:f>
                <c15:dlblRangeCache>
                  <c:ptCount val="8"/>
                  <c:pt idx="0">
                    <c:v>#ODKAZ!</c:v>
                  </c:pt>
                  <c:pt idx="1">
                    <c:v>#ODKAZ!</c:v>
                  </c:pt>
                  <c:pt idx="2">
                    <c:v>#ODKAZ!</c:v>
                  </c:pt>
                  <c:pt idx="3">
                    <c:v>#ODKAZ!</c:v>
                  </c:pt>
                  <c:pt idx="4">
                    <c:v>#ODKAZ!</c:v>
                  </c:pt>
                  <c:pt idx="5">
                    <c:v>#ODKAZ!</c:v>
                  </c:pt>
                  <c:pt idx="6">
                    <c:v>#ODKAZ!</c:v>
                  </c:pt>
                  <c:pt idx="7">
                    <c:v>#ODKAZ!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B18E-442D-BBBE-04E8FA1F41D9}"/>
            </c:ext>
          </c:extLst>
        </c:ser>
        <c:ser>
          <c:idx val="1"/>
          <c:order val="1"/>
          <c:tx>
            <c:strRef>
              <c:f>'data výdaje'!$A$6</c:f>
              <c:strCache>
                <c:ptCount val="1"/>
                <c:pt idx="0">
                  <c:v>běžné výdaje</c:v>
                </c:pt>
              </c:strCache>
            </c:strRef>
          </c:tx>
          <c:spPr>
            <a:solidFill>
              <a:srgbClr val="00ADD0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strRef>
                  <c:f>'data výdaje'!$E$10</c:f>
                  <c:strCache>
                    <c:ptCount val="1"/>
                    <c:pt idx="0">
                      <c:v>70,1 %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strRef>
                  <c:f>'data výdaje'!$F$10</c:f>
                  <c:strCache>
                    <c:ptCount val="1"/>
                    <c:pt idx="0">
                      <c:v>68,8 %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strRef>
                  <c:f>'data výdaje'!$G$10</c:f>
                  <c:strCache>
                    <c:ptCount val="1"/>
                    <c:pt idx="0">
                      <c:v>73,6 %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strRef>
                  <c:f>'data výdaje'!$H$10</c:f>
                  <c:strCache>
                    <c:ptCount val="1"/>
                    <c:pt idx="0">
                      <c:v>77,4 %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strRef>
                  <c:f>'data výdaje'!$I$10</c:f>
                  <c:strCache>
                    <c:ptCount val="1"/>
                    <c:pt idx="0">
                      <c:v>81,8 %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strRef>
                  <c:f>'data výdaje'!$J$10</c:f>
                  <c:strCache>
                    <c:ptCount val="1"/>
                    <c:pt idx="0">
                      <c:v>81,8 %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strRef>
                  <c:f>'data výdaje'!$K$10</c:f>
                  <c:strCache>
                    <c:ptCount val="1"/>
                    <c:pt idx="0">
                      <c:v>78,8 %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strRef>
                  <c:f>'data výdaje'!$L$10</c:f>
                  <c:strCache>
                    <c:ptCount val="1"/>
                    <c:pt idx="0">
                      <c:v>79,9 %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strRef>
                  <c:f>'data výdaje'!$K$10</c:f>
                  <c:strCache>
                    <c:ptCount val="1"/>
                    <c:pt idx="0">
                      <c:v>78,8 %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výdaje'!$E$4:$L$4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'data výdaje'!$E$6:$L$6</c:f>
              <c:numCache>
                <c:formatCode>#,##0</c:formatCode>
                <c:ptCount val="8"/>
                <c:pt idx="0">
                  <c:v>5459294846.5200024</c:v>
                </c:pt>
                <c:pt idx="1">
                  <c:v>5831442006.8499985</c:v>
                </c:pt>
                <c:pt idx="2">
                  <c:v>6088027414.4300022</c:v>
                </c:pt>
                <c:pt idx="3">
                  <c:v>5490308529.5900002</c:v>
                </c:pt>
                <c:pt idx="4">
                  <c:v>5689619091.0599995</c:v>
                </c:pt>
                <c:pt idx="5">
                  <c:v>6374646776.1499987</c:v>
                </c:pt>
                <c:pt idx="6">
                  <c:v>6964995760.8400002</c:v>
                </c:pt>
                <c:pt idx="7">
                  <c:v>7480668044.6300011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datalabelsRange>
                <c15:f>'[2]pomocné tabulky'!$B$9:$I$9</c15:f>
                <c15:dlblRangeCache>
                  <c:ptCount val="8"/>
                  <c:pt idx="0">
                    <c:v>#ODKAZ!</c:v>
                  </c:pt>
                  <c:pt idx="1">
                    <c:v>#ODKAZ!</c:v>
                  </c:pt>
                  <c:pt idx="2">
                    <c:v>#ODKAZ!</c:v>
                  </c:pt>
                  <c:pt idx="3">
                    <c:v>#ODKAZ!</c:v>
                  </c:pt>
                  <c:pt idx="4">
                    <c:v>#ODKAZ!</c:v>
                  </c:pt>
                  <c:pt idx="5">
                    <c:v>#ODKAZ!</c:v>
                  </c:pt>
                  <c:pt idx="6">
                    <c:v>#ODKAZ!</c:v>
                  </c:pt>
                  <c:pt idx="7">
                    <c:v>#ODKAZ!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B18E-442D-BBBE-04E8FA1F4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51680512"/>
        <c:axId val="150935744"/>
      </c:barChart>
      <c:catAx>
        <c:axId val="15168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0935744"/>
        <c:crosses val="autoZero"/>
        <c:auto val="1"/>
        <c:lblAlgn val="ctr"/>
        <c:lblOffset val="100"/>
        <c:noMultiLvlLbl val="0"/>
      </c:catAx>
      <c:valAx>
        <c:axId val="150935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1680512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cap="sm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2400" b="1">
                <a:solidFill>
                  <a:sysClr val="windowText" lastClr="000000"/>
                </a:solidFill>
              </a:rPr>
              <a:t>Neinvestiční transfery</a:t>
            </a:r>
            <a:r>
              <a:rPr lang="cs-CZ" sz="2400" b="1" baseline="0">
                <a:solidFill>
                  <a:sysClr val="windowText" lastClr="000000"/>
                </a:solidFill>
              </a:rPr>
              <a:t> městským obvodům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="1" baseline="0">
                <a:solidFill>
                  <a:sysClr val="windowText" lastClr="000000"/>
                </a:solidFill>
              </a:rPr>
              <a:t>(včetně meziročních změn v %)</a:t>
            </a:r>
            <a:endParaRPr lang="en-US" sz="1400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neinvestiční transfery</c:v>
          </c:tx>
          <c:spPr>
            <a:solidFill>
              <a:srgbClr val="00ADD0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strRef>
                  <c:f>'data MOb'!$C$5</c:f>
                  <c:strCache>
                    <c:ptCount val="1"/>
                    <c:pt idx="0">
                      <c:v>2,2 %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{B7C393D5-8579-4353-B162-348A3F56E05C}</c15:txfldGUID>
                      <c15:f>'data MOb'!$C$4</c15:f>
                      <c15:dlblFieldTableCache>
                        <c:ptCount val="1"/>
                        <c:pt idx="0">
                          <c:v>-7,9%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1-3E00-4558-AD71-9F46278D0AA6}"/>
                </c:ext>
              </c:extLst>
            </c:dLbl>
            <c:dLbl>
              <c:idx val="1"/>
              <c:layout/>
              <c:tx>
                <c:strRef>
                  <c:f>'data MOb'!$C$6</c:f>
                  <c:strCache>
                    <c:ptCount val="1"/>
                    <c:pt idx="0">
                      <c:v>3,4 %</c:v>
                    </c:pt>
                  </c:strCache>
                </c:strRef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{DB311CD8-5C43-4264-AED2-C28CB8E37980}</c15:txfldGUID>
                      <c15:f>'data MOb'!$C$5</c15:f>
                      <c15:dlblFieldTableCache>
                        <c:ptCount val="1"/>
                        <c:pt idx="0">
                          <c:v>2,2%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2-3E00-4558-AD71-9F46278D0AA6}"/>
                </c:ext>
              </c:extLst>
            </c:dLbl>
            <c:dLbl>
              <c:idx val="2"/>
              <c:layout/>
              <c:tx>
                <c:strRef>
                  <c:f>'data MOb'!$C$7</c:f>
                  <c:strCache>
                    <c:ptCount val="1"/>
                    <c:pt idx="0">
                      <c:v>20,1 %</c:v>
                    </c:pt>
                  </c:strCache>
                </c:strRef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{8BC85011-8015-4DBF-9C73-BC2970E0BE29}</c15:txfldGUID>
                      <c15:f>'data MOb'!$C$6</c15:f>
                      <c15:dlblFieldTableCache>
                        <c:ptCount val="1"/>
                        <c:pt idx="0">
                          <c:v>3,4%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3-3E00-4558-AD71-9F46278D0AA6}"/>
                </c:ext>
              </c:extLst>
            </c:dLbl>
            <c:dLbl>
              <c:idx val="3"/>
              <c:layout/>
              <c:tx>
                <c:strRef>
                  <c:f>'data MOb'!$C$8</c:f>
                  <c:strCache>
                    <c:ptCount val="1"/>
                    <c:pt idx="0">
                      <c:v>-5,9 %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{1B3B66C5-4072-44EC-9A2A-78C9DE60A9E3}</c15:txfldGUID>
                      <c15:f>'data MOb'!$C$7</c15:f>
                      <c15:dlblFieldTableCache>
                        <c:ptCount val="1"/>
                        <c:pt idx="0">
                          <c:v>20,1%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4-3E00-4558-AD71-9F46278D0AA6}"/>
                </c:ext>
              </c:extLst>
            </c:dLbl>
            <c:dLbl>
              <c:idx val="4"/>
              <c:layout/>
              <c:tx>
                <c:strRef>
                  <c:f>'data MOb'!$C$9</c:f>
                  <c:strCache>
                    <c:ptCount val="1"/>
                    <c:pt idx="0">
                      <c:v>7,5 %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{BDE34B26-80FC-4109-A95B-C064A11498C3}</c15:txfldGUID>
                      <c15:f>'data MOb'!$C$8</c15:f>
                      <c15:dlblFieldTableCache>
                        <c:ptCount val="1"/>
                        <c:pt idx="0">
                          <c:v>-5,9%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5-3E00-4558-AD71-9F46278D0AA6}"/>
                </c:ext>
              </c:extLst>
            </c:dLbl>
            <c:dLbl>
              <c:idx val="5"/>
              <c:layout/>
              <c:tx>
                <c:strRef>
                  <c:f>'data MOb'!$C$10</c:f>
                  <c:strCache>
                    <c:ptCount val="1"/>
                    <c:pt idx="0">
                      <c:v>19,3 %</c:v>
                    </c:pt>
                  </c:strCache>
                </c:strRef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{2F568A15-09B8-46EE-BCF3-89187D9A5A76}</c15:txfldGUID>
                      <c15:f>'data MOb'!$C$9</c15:f>
                      <c15:dlblFieldTableCache>
                        <c:ptCount val="1"/>
                        <c:pt idx="0">
                          <c:v>7,5%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6-3E00-4558-AD71-9F46278D0AA6}"/>
                </c:ext>
              </c:extLst>
            </c:dLbl>
            <c:dLbl>
              <c:idx val="6"/>
              <c:layout/>
              <c:tx>
                <c:strRef>
                  <c:f>'data MOb'!$C$11</c:f>
                  <c:strCache>
                    <c:ptCount val="1"/>
                    <c:pt idx="0">
                      <c:v>11,3 %</c:v>
                    </c:pt>
                  </c:strCache>
                </c:strRef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{248E462C-CFA8-4842-B9A8-C517D2495361}</c15:txfldGUID>
                      <c15:f>'data MOb'!$C$10</c15:f>
                      <c15:dlblFieldTableCache>
                        <c:ptCount val="1"/>
                        <c:pt idx="0">
                          <c:v>19,3%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7-3E00-4558-AD71-9F46278D0AA6}"/>
                </c:ext>
              </c:extLst>
            </c:dLbl>
            <c:dLbl>
              <c:idx val="7"/>
              <c:layout/>
              <c:tx>
                <c:strRef>
                  <c:f>'data MOb'!$C$12</c:f>
                  <c:strCache>
                    <c:ptCount val="1"/>
                    <c:pt idx="0">
                      <c:v>4,2 %</c:v>
                    </c:pt>
                  </c:strCache>
                </c:strRef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{5ABF1429-5259-4F03-AE2B-335DCD2707FC}</c15:txfldGUID>
                      <c15:f>'data MOb'!$C$11</c15:f>
                      <c15:dlblFieldTableCache>
                        <c:ptCount val="1"/>
                        <c:pt idx="0">
                          <c:v>11,3%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8-3E00-4558-AD71-9F46278D0A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MOb'!$A$5:$A$12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'data MOb'!$B$5:$B$12</c:f>
              <c:numCache>
                <c:formatCode>#,##0.00</c:formatCode>
                <c:ptCount val="8"/>
                <c:pt idx="0">
                  <c:v>794287594.38999999</c:v>
                </c:pt>
                <c:pt idx="1">
                  <c:v>821027353.15999997</c:v>
                </c:pt>
                <c:pt idx="2">
                  <c:v>985846954.30999994</c:v>
                </c:pt>
                <c:pt idx="3">
                  <c:v>927834197.95000005</c:v>
                </c:pt>
                <c:pt idx="4">
                  <c:v>997188845.34000003</c:v>
                </c:pt>
                <c:pt idx="5">
                  <c:v>1189200805.47</c:v>
                </c:pt>
                <c:pt idx="6">
                  <c:v>1324002951.8499999</c:v>
                </c:pt>
                <c:pt idx="7">
                  <c:v>1379034792.27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datalabelsRange>
                <c15:f>[1]List1!$C$4:$C$11</c15:f>
                <c15:dlblRangeCache>
                  <c:ptCount val="8"/>
                  <c:pt idx="0">
                    <c:v>#ODKAZ!</c:v>
                  </c:pt>
                  <c:pt idx="1">
                    <c:v>#ODKAZ!</c:v>
                  </c:pt>
                  <c:pt idx="2">
                    <c:v>#ODKAZ!</c:v>
                  </c:pt>
                  <c:pt idx="3">
                    <c:v>#ODKAZ!</c:v>
                  </c:pt>
                  <c:pt idx="4">
                    <c:v>#ODKAZ!</c:v>
                  </c:pt>
                  <c:pt idx="5">
                    <c:v>#ODKAZ!</c:v>
                  </c:pt>
                  <c:pt idx="6">
                    <c:v>#ODKAZ!</c:v>
                  </c:pt>
                  <c:pt idx="7">
                    <c:v>#ODKAZ!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3E00-4558-AD71-9F46278D0A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-27"/>
        <c:axId val="151681536"/>
        <c:axId val="150960896"/>
      </c:barChart>
      <c:catAx>
        <c:axId val="15168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0960896"/>
        <c:crosses val="autoZero"/>
        <c:auto val="1"/>
        <c:lblAlgn val="ctr"/>
        <c:lblOffset val="100"/>
        <c:noMultiLvlLbl val="0"/>
      </c:catAx>
      <c:valAx>
        <c:axId val="15096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1681536"/>
        <c:crosses val="autoZero"/>
        <c:crossBetween val="between"/>
        <c:majorUnit val="15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2400" b="1">
                <a:solidFill>
                  <a:sysClr val="windowText" lastClr="000000"/>
                </a:solidFill>
              </a:rPr>
              <a:t>Investiční transfery</a:t>
            </a:r>
            <a:r>
              <a:rPr lang="cs-CZ" sz="2400" b="1" baseline="0">
                <a:solidFill>
                  <a:sysClr val="windowText" lastClr="000000"/>
                </a:solidFill>
              </a:rPr>
              <a:t> městským obvodům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="1" baseline="0">
                <a:solidFill>
                  <a:sysClr val="windowText" lastClr="000000"/>
                </a:solidFill>
              </a:rPr>
              <a:t>(včetně meziročních změn v %)</a:t>
            </a:r>
            <a:endParaRPr lang="en-US" sz="1400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Investiční transfery</c:v>
          </c:tx>
          <c:spPr>
            <a:solidFill>
              <a:srgbClr val="003C69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strRef>
                  <c:f>'data MOb'!$E$5</c:f>
                  <c:strCache>
                    <c:ptCount val="1"/>
                    <c:pt idx="0">
                      <c:v>3,0 %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{E107BF00-9A01-40AC-B7E5-83F256B9CDFB}</c15:txfldGUID>
                      <c15:f>'data MOb'!$E$4</c15:f>
                      <c15:dlblFieldTableCache>
                        <c:ptCount val="1"/>
                        <c:pt idx="0">
                          <c:v>-65,9%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0-8D24-439C-BB45-EB92BC67C200}"/>
                </c:ext>
              </c:extLst>
            </c:dLbl>
            <c:dLbl>
              <c:idx val="1"/>
              <c:layout/>
              <c:tx>
                <c:strRef>
                  <c:f>'data MOb'!$E$6</c:f>
                  <c:strCache>
                    <c:ptCount val="1"/>
                    <c:pt idx="0">
                      <c:v>-5,6 %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{878849F0-248C-44BE-A3FD-CF8878030878}</c15:txfldGUID>
                      <c15:f>'data MOb'!$E$5</c15:f>
                      <c15:dlblFieldTableCache>
                        <c:ptCount val="1"/>
                        <c:pt idx="0">
                          <c:v>3,0%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1-8D24-439C-BB45-EB92BC67C200}"/>
                </c:ext>
              </c:extLst>
            </c:dLbl>
            <c:dLbl>
              <c:idx val="2"/>
              <c:layout/>
              <c:tx>
                <c:strRef>
                  <c:f>'data MOb'!$E$7</c:f>
                  <c:strCache>
                    <c:ptCount val="1"/>
                    <c:pt idx="0">
                      <c:v>-5,9 %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{D4687DA7-375F-445C-9228-B77715D1B8CF}</c15:txfldGUID>
                      <c15:f>'data MOb'!$E$6</c15:f>
                      <c15:dlblFieldTableCache>
                        <c:ptCount val="1"/>
                        <c:pt idx="0">
                          <c:v>-5,6%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2-8D24-439C-BB45-EB92BC67C200}"/>
                </c:ext>
              </c:extLst>
            </c:dLbl>
            <c:dLbl>
              <c:idx val="3"/>
              <c:layout/>
              <c:tx>
                <c:strRef>
                  <c:f>'data MOb'!$E$8</c:f>
                  <c:strCache>
                    <c:ptCount val="1"/>
                    <c:pt idx="0">
                      <c:v>-49,0 %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{A4179BE9-9472-4F0F-9E3C-92EDAA3F35A8}</c15:txfldGUID>
                      <c15:f>'data MOb'!$E$7</c15:f>
                      <c15:dlblFieldTableCache>
                        <c:ptCount val="1"/>
                        <c:pt idx="0">
                          <c:v>-5,9%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3-8D24-439C-BB45-EB92BC67C200}"/>
                </c:ext>
              </c:extLst>
            </c:dLbl>
            <c:dLbl>
              <c:idx val="4"/>
              <c:layout/>
              <c:tx>
                <c:strRef>
                  <c:f>'data MOb'!$E$9</c:f>
                  <c:strCache>
                    <c:ptCount val="1"/>
                    <c:pt idx="0">
                      <c:v>59,5 %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{0E058F44-D5AC-45CE-B819-0587EA420590}</c15:txfldGUID>
                      <c15:f>'data MOb'!$E$8</c15:f>
                      <c15:dlblFieldTableCache>
                        <c:ptCount val="1"/>
                        <c:pt idx="0">
                          <c:v>-49,0%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4-8D24-439C-BB45-EB92BC67C200}"/>
                </c:ext>
              </c:extLst>
            </c:dLbl>
            <c:dLbl>
              <c:idx val="5"/>
              <c:layout/>
              <c:tx>
                <c:strRef>
                  <c:f>'data MOb'!$E$10</c:f>
                  <c:strCache>
                    <c:ptCount val="1"/>
                    <c:pt idx="0">
                      <c:v>56,4 %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{14143FA5-B656-493F-8589-7E793F14FEC7}</c15:txfldGUID>
                      <c15:f>'data MOb'!$E$9</c15:f>
                      <c15:dlblFieldTableCache>
                        <c:ptCount val="1"/>
                        <c:pt idx="0">
                          <c:v>59,5%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5-8D24-439C-BB45-EB92BC67C200}"/>
                </c:ext>
              </c:extLst>
            </c:dLbl>
            <c:dLbl>
              <c:idx val="6"/>
              <c:layout/>
              <c:tx>
                <c:strRef>
                  <c:f>'data MOb'!$E$11</c:f>
                  <c:strCache>
                    <c:ptCount val="1"/>
                    <c:pt idx="0">
                      <c:v>99,0 %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{2AC23C45-8404-4888-95B4-A7AE46F417F7}</c15:txfldGUID>
                      <c15:f>'data MOb'!$E$10</c15:f>
                      <c15:dlblFieldTableCache>
                        <c:ptCount val="1"/>
                        <c:pt idx="0">
                          <c:v>56,4%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6-8D24-439C-BB45-EB92BC67C200}"/>
                </c:ext>
              </c:extLst>
            </c:dLbl>
            <c:dLbl>
              <c:idx val="7"/>
              <c:layout/>
              <c:tx>
                <c:strRef>
                  <c:f>'data MOb'!$E$12</c:f>
                  <c:strCache>
                    <c:ptCount val="1"/>
                    <c:pt idx="0">
                      <c:v>-25,5 %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{76EFAA12-96A6-4CE2-A7DA-2F362F57159C}</c15:txfldGUID>
                      <c15:f>'data MOb'!$E$11</c15:f>
                      <c15:dlblFieldTableCache>
                        <c:ptCount val="1"/>
                        <c:pt idx="0">
                          <c:v>99,0%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7-8D24-439C-BB45-EB92BC67C2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MOb'!$A$5:$A$12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'data MOb'!$D$5:$D$12</c:f>
              <c:numCache>
                <c:formatCode>#,##0.00</c:formatCode>
                <c:ptCount val="8"/>
                <c:pt idx="0">
                  <c:v>211394791.81</c:v>
                </c:pt>
                <c:pt idx="1">
                  <c:v>199646057.37</c:v>
                </c:pt>
                <c:pt idx="2">
                  <c:v>187891010.81999999</c:v>
                </c:pt>
                <c:pt idx="3">
                  <c:v>95864091.980000004</c:v>
                </c:pt>
                <c:pt idx="4">
                  <c:v>152890100.40000001</c:v>
                </c:pt>
                <c:pt idx="5">
                  <c:v>239090428.63</c:v>
                </c:pt>
                <c:pt idx="6">
                  <c:v>475693897.48000002</c:v>
                </c:pt>
                <c:pt idx="7">
                  <c:v>354561515.32999998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datalabelsRange>
                <c15:f>[1]List1!$E$4:$E$11</c15:f>
                <c15:dlblRangeCache>
                  <c:ptCount val="8"/>
                  <c:pt idx="0">
                    <c:v>#ODKAZ!</c:v>
                  </c:pt>
                  <c:pt idx="1">
                    <c:v>#ODKAZ!</c:v>
                  </c:pt>
                  <c:pt idx="2">
                    <c:v>#ODKAZ!</c:v>
                  </c:pt>
                  <c:pt idx="3">
                    <c:v>#ODKAZ!</c:v>
                  </c:pt>
                  <c:pt idx="4">
                    <c:v>#ODKAZ!</c:v>
                  </c:pt>
                  <c:pt idx="5">
                    <c:v>#ODKAZ!</c:v>
                  </c:pt>
                  <c:pt idx="6">
                    <c:v>#ODKAZ!</c:v>
                  </c:pt>
                  <c:pt idx="7">
                    <c:v>#ODKAZ!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8D24-439C-BB45-EB92BC67C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151558656"/>
        <c:axId val="226903168"/>
      </c:barChart>
      <c:catAx>
        <c:axId val="15155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6903168"/>
        <c:crosses val="autoZero"/>
        <c:auto val="1"/>
        <c:lblAlgn val="ctr"/>
        <c:lblOffset val="100"/>
        <c:noMultiLvlLbl val="0"/>
      </c:catAx>
      <c:valAx>
        <c:axId val="22690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1558656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cap="sm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1"/>
  </sheetPr>
  <sheetViews>
    <sheetView zoomScale="130" workbookViewId="0"/>
  </sheetViews>
  <pageMargins left="0.31496062992125984" right="0.31496062992125984" top="0.39370078740157483" bottom="0.39370078740157483" header="0.31496062992125984" footer="0.31496062992125984"/>
  <pageSetup paperSize="9" orientation="landscape" r:id="rId1"/>
  <headerFooter>
    <oddHeader>&amp;R&amp;16Příloha č. 25</oddHead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theme="6" tint="-0.499984740745262"/>
  </sheetPr>
  <sheetViews>
    <sheetView workbookViewId="0"/>
  </sheetViews>
  <pageMargins left="0.51181102362204722" right="0.51181102362204722" top="0.59055118110236227" bottom="0.59055118110236227" header="0.31496062992125984" footer="0.31496062992125984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1"/>
  </sheetPr>
  <sheetViews>
    <sheetView zoomScale="130" workbookViewId="0"/>
  </sheetViews>
  <pageMargins left="0.31496062992125984" right="0.31496062992125984" top="0.39370078740157483" bottom="0.39370078740157483" header="0.31496062992125984" footer="0.31496062992125984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theme="1"/>
  </sheetPr>
  <sheetViews>
    <sheetView zoomScale="130" workbookViewId="0"/>
  </sheetViews>
  <pageMargins left="0.31496062992125984" right="0.31496062992125984" top="0.39370078740157483" bottom="0.39370078740157483" header="0.31496062992125984" footer="0.31496062992125984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theme="1"/>
  </sheetPr>
  <sheetViews>
    <sheetView zoomScale="130" workbookViewId="0"/>
  </sheetViews>
  <pageMargins left="0.31496062992125984" right="0.31496062992125984" top="0.39370078740157483" bottom="0.39370078740157483" header="0.31496062992125984" footer="0.31496062992125984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theme="8" tint="-0.499984740745262"/>
  </sheetPr>
  <sheetViews>
    <sheetView workbookViewId="0"/>
  </sheetViews>
  <pageMargins left="0.39370078740157483" right="0.39370078740157483" top="0.39370078740157483" bottom="0.39370078740157483" header="0.31496062992125984" footer="0.31496062992125984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theme="8" tint="-0.499984740745262"/>
  </sheetPr>
  <sheetViews>
    <sheetView workbookViewId="0"/>
  </sheetViews>
  <pageMargins left="0.39370078740157483" right="0.39370078740157483" top="0.39370078740157483" bottom="0.39370078740157483" header="0.31496062992125984" footer="0.31496062992125984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theme="8" tint="-0.499984740745262"/>
  </sheetPr>
  <sheetViews>
    <sheetView workbookViewId="0"/>
  </sheetViews>
  <pageMargins left="0.39370078740157483" right="0.39370078740157483" top="0.39370078740157483" bottom="0.39370078740157483" header="0.31496062992125984" footer="0.31496062992125984"/>
  <pageSetup paperSize="9"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theme="5" tint="-0.499984740745262"/>
  </sheetPr>
  <sheetViews>
    <sheetView workbookViewId="0"/>
  </sheetViews>
  <pageMargins left="0.39370078740157483" right="0.39370078740157483" top="0.39370078740157483" bottom="0.39370078740157483" header="0.31496062992125984" footer="0.31496062992125984"/>
  <pageSetup paperSize="9"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theme="5" tint="-0.499984740745262"/>
  </sheetPr>
  <sheetViews>
    <sheetView workbookViewId="0"/>
  </sheetViews>
  <pageMargins left="0.39370078740157483" right="0.39370078740157483" top="0.39370078740157483" bottom="0.39370078740157483" header="0.31496062992125984" footer="0.3149606299212598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993923" cy="6718788"/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0.11575</cdr:x>
      <cdr:y>0.13099</cdr:y>
    </cdr:from>
    <cdr:to>
      <cdr:x>0.43169</cdr:x>
      <cdr:y>0.22717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1140460" y="881380"/>
          <a:ext cx="3112850" cy="6471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1100" b="1" i="1"/>
            <a:t>bez investičních transferů městským</a:t>
          </a:r>
          <a:r>
            <a:rPr lang="cs-CZ" sz="1100" b="1" i="1" baseline="0"/>
            <a:t> obvodům</a:t>
          </a:r>
          <a:r>
            <a:rPr lang="cs-CZ" sz="1100" b="1" i="1"/>
            <a:t>, které jsou dle platné rozpočtové skladby</a:t>
          </a:r>
          <a:r>
            <a:rPr lang="cs-CZ" sz="1100" b="1" i="1" baseline="0"/>
            <a:t> vykazovány ve výkazech jako běžné výdaje</a:t>
          </a:r>
          <a:endParaRPr lang="cs-CZ" sz="1100" b="1" i="1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858375" cy="6734175"/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0.63092</cdr:x>
      <cdr:y>0.20509</cdr:y>
    </cdr:from>
    <cdr:to>
      <cdr:x>0.94686</cdr:x>
      <cdr:y>0.30127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6219825" y="1381112"/>
          <a:ext cx="3114676" cy="6476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 i="1"/>
            <a:t>včetně investičních transferů městským</a:t>
          </a:r>
          <a:r>
            <a:rPr lang="cs-CZ" sz="1100" b="1" i="1" baseline="0"/>
            <a:t> obvodům</a:t>
          </a:r>
          <a:r>
            <a:rPr lang="cs-CZ" sz="1100" b="1" i="1"/>
            <a:t>, které jsou dle platné rozpočtové skladby</a:t>
          </a:r>
          <a:r>
            <a:rPr lang="cs-CZ" sz="1100" b="1" i="1" baseline="0"/>
            <a:t> vykazovány ve výkazech jako běžné výdaje</a:t>
          </a:r>
          <a:endParaRPr lang="cs-CZ" sz="1100" b="1" i="1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858375" cy="6734175"/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858375" cy="6734175"/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858375" cy="6734175"/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372225"/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0.07278</cdr:x>
      <cdr:y>0.89337</cdr:y>
    </cdr:from>
    <cdr:to>
      <cdr:x>0.0967</cdr:x>
      <cdr:y>0.91041</cdr:y>
    </cdr:to>
    <cdr:grpSp>
      <cdr:nvGrpSpPr>
        <cdr:cNvPr id="2" name="Skupina 1">
          <a:extLst xmlns:a="http://schemas.openxmlformats.org/drawingml/2006/main">
            <a:ext uri="{FF2B5EF4-FFF2-40B4-BE49-F238E27FC236}">
              <a16:creationId xmlns="" xmlns:a16="http://schemas.microsoft.com/office/drawing/2014/main" id="{2A29B6B3-C2CB-4828-AA0C-0690E5B2B910}"/>
            </a:ext>
          </a:extLst>
        </cdr:cNvPr>
        <cdr:cNvGrpSpPr/>
      </cdr:nvGrpSpPr>
      <cdr:grpSpPr>
        <a:xfrm xmlns:a="http://schemas.openxmlformats.org/drawingml/2006/main">
          <a:off x="702241" y="5692755"/>
          <a:ext cx="230800" cy="108582"/>
          <a:chOff x="702227" y="5721357"/>
          <a:chExt cx="230827" cy="108552"/>
        </a:xfrm>
      </cdr:grpSpPr>
      <cdr:cxnSp macro="">
        <cdr:nvCxnSpPr>
          <cdr:cNvPr id="3" name="Přímá spojnice 2">
            <a:extLst xmlns:a="http://schemas.openxmlformats.org/drawingml/2006/main">
              <a:ext uri="{FF2B5EF4-FFF2-40B4-BE49-F238E27FC236}">
                <a16:creationId xmlns="" xmlns:a16="http://schemas.microsoft.com/office/drawing/2014/main" id="{10CAAAED-3901-4B6C-9837-93D956E8F0DD}"/>
              </a:ext>
            </a:extLst>
          </cdr:cNvPr>
          <cdr:cNvCxnSpPr/>
        </cdr:nvCxnSpPr>
        <cdr:spPr>
          <a:xfrm xmlns:a="http://schemas.openxmlformats.org/drawingml/2006/main" flipV="1">
            <a:off x="702227" y="5721357"/>
            <a:ext cx="227133" cy="53973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FF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Přímá spojnice 4">
            <a:extLst xmlns:a="http://schemas.openxmlformats.org/drawingml/2006/main">
              <a:ext uri="{FF2B5EF4-FFF2-40B4-BE49-F238E27FC236}">
                <a16:creationId xmlns="" xmlns:a16="http://schemas.microsoft.com/office/drawing/2014/main" id="{77F835A7-3548-4B81-8DD5-2121262DD2CA}"/>
              </a:ext>
            </a:extLst>
          </cdr:cNvPr>
          <cdr:cNvCxnSpPr/>
        </cdr:nvCxnSpPr>
        <cdr:spPr>
          <a:xfrm xmlns:a="http://schemas.openxmlformats.org/drawingml/2006/main" flipV="1">
            <a:off x="705921" y="5775873"/>
            <a:ext cx="227133" cy="54036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FF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</xdr:colOff>
      <xdr:row>2</xdr:row>
      <xdr:rowOff>152399</xdr:rowOff>
    </xdr:from>
    <xdr:to>
      <xdr:col>9</xdr:col>
      <xdr:colOff>565799</xdr:colOff>
      <xdr:row>23</xdr:row>
      <xdr:rowOff>164399</xdr:rowOff>
    </xdr:to>
    <xdr:graphicFrame macro="">
      <xdr:nvGraphicFramePr>
        <xdr:cNvPr id="10" name="Graf 2">
          <a:extLst>
            <a:ext uri="{FF2B5EF4-FFF2-40B4-BE49-F238E27FC236}">
              <a16:creationId xmlns="" xmlns:a16="http://schemas.microsoft.com/office/drawing/2014/main" id="{8E3A9A06-8666-4358-82CD-1D0BA4409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83819</xdr:colOff>
      <xdr:row>3</xdr:row>
      <xdr:rowOff>0</xdr:rowOff>
    </xdr:from>
    <xdr:to>
      <xdr:col>19</xdr:col>
      <xdr:colOff>230519</xdr:colOff>
      <xdr:row>24</xdr:row>
      <xdr:rowOff>4380</xdr:rowOff>
    </xdr:to>
    <xdr:graphicFrame macro="">
      <xdr:nvGraphicFramePr>
        <xdr:cNvPr id="11" name="Graf 10">
          <a:extLst>
            <a:ext uri="{FF2B5EF4-FFF2-40B4-BE49-F238E27FC236}">
              <a16:creationId xmlns="" xmlns:a16="http://schemas.microsoft.com/office/drawing/2014/main" id="{3AB4E263-7E6C-497F-BAAC-D8194173F8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30479</xdr:colOff>
      <xdr:row>25</xdr:row>
      <xdr:rowOff>76200</xdr:rowOff>
    </xdr:from>
    <xdr:to>
      <xdr:col>9</xdr:col>
      <xdr:colOff>565799</xdr:colOff>
      <xdr:row>47</xdr:row>
      <xdr:rowOff>4380</xdr:rowOff>
    </xdr:to>
    <xdr:graphicFrame macro="">
      <xdr:nvGraphicFramePr>
        <xdr:cNvPr id="12" name="Graf 1">
          <a:extLst>
            <a:ext uri="{FF2B5EF4-FFF2-40B4-BE49-F238E27FC236}">
              <a16:creationId xmlns="" xmlns:a16="http://schemas.microsoft.com/office/drawing/2014/main" id="{4C21D6D0-7CF6-4CD9-A239-F2323D6C56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83820</xdr:colOff>
      <xdr:row>25</xdr:row>
      <xdr:rowOff>68580</xdr:rowOff>
    </xdr:from>
    <xdr:to>
      <xdr:col>19</xdr:col>
      <xdr:colOff>230520</xdr:colOff>
      <xdr:row>46</xdr:row>
      <xdr:rowOff>65340</xdr:rowOff>
    </xdr:to>
    <xdr:graphicFrame macro="">
      <xdr:nvGraphicFramePr>
        <xdr:cNvPr id="13" name="Graf 12">
          <a:extLst>
            <a:ext uri="{FF2B5EF4-FFF2-40B4-BE49-F238E27FC236}">
              <a16:creationId xmlns="" xmlns:a16="http://schemas.microsoft.com/office/drawing/2014/main" id="{47A8A2C5-3DAC-4477-9D8C-4CDF964F5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</xdr:colOff>
      <xdr:row>51</xdr:row>
      <xdr:rowOff>7620</xdr:rowOff>
    </xdr:from>
    <xdr:to>
      <xdr:col>9</xdr:col>
      <xdr:colOff>573420</xdr:colOff>
      <xdr:row>72</xdr:row>
      <xdr:rowOff>4380</xdr:rowOff>
    </xdr:to>
    <xdr:graphicFrame macro="">
      <xdr:nvGraphicFramePr>
        <xdr:cNvPr id="14" name="Graf 13">
          <a:extLst>
            <a:ext uri="{FF2B5EF4-FFF2-40B4-BE49-F238E27FC236}">
              <a16:creationId xmlns="" xmlns:a16="http://schemas.microsoft.com/office/drawing/2014/main" id="{F549E4AB-8E57-40CA-9D9B-0A388842AE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76200</xdr:colOff>
      <xdr:row>50</xdr:row>
      <xdr:rowOff>152400</xdr:rowOff>
    </xdr:from>
    <xdr:to>
      <xdr:col>19</xdr:col>
      <xdr:colOff>222900</xdr:colOff>
      <xdr:row>71</xdr:row>
      <xdr:rowOff>156780</xdr:rowOff>
    </xdr:to>
    <xdr:graphicFrame macro="">
      <xdr:nvGraphicFramePr>
        <xdr:cNvPr id="15" name="Graf 14">
          <a:extLst>
            <a:ext uri="{FF2B5EF4-FFF2-40B4-BE49-F238E27FC236}">
              <a16:creationId xmlns="" xmlns:a16="http://schemas.microsoft.com/office/drawing/2014/main" id="{9E77D8E9-B80B-4AE1-AB08-162EE3D30F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274320</xdr:colOff>
      <xdr:row>73</xdr:row>
      <xdr:rowOff>129540</xdr:rowOff>
    </xdr:from>
    <xdr:to>
      <xdr:col>14</xdr:col>
      <xdr:colOff>421020</xdr:colOff>
      <xdr:row>94</xdr:row>
      <xdr:rowOff>126300</xdr:rowOff>
    </xdr:to>
    <xdr:graphicFrame macro="">
      <xdr:nvGraphicFramePr>
        <xdr:cNvPr id="16" name="Graf 15">
          <a:extLst>
            <a:ext uri="{FF2B5EF4-FFF2-40B4-BE49-F238E27FC236}">
              <a16:creationId xmlns="" xmlns:a16="http://schemas.microsoft.com/office/drawing/2014/main" id="{AEDBB55A-D686-483C-A8B8-A17F7619B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32701</xdr:colOff>
      <xdr:row>3</xdr:row>
      <xdr:rowOff>11588</xdr:rowOff>
    </xdr:from>
    <xdr:to>
      <xdr:col>9</xdr:col>
      <xdr:colOff>568021</xdr:colOff>
      <xdr:row>24</xdr:row>
      <xdr:rowOff>15334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B42F263B-C67A-4DB9-AC41-3CEDB539EE9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85723</xdr:colOff>
      <xdr:row>2</xdr:row>
      <xdr:rowOff>158113</xdr:rowOff>
    </xdr:from>
    <xdr:to>
      <xdr:col>19</xdr:col>
      <xdr:colOff>232423</xdr:colOff>
      <xdr:row>24</xdr:row>
      <xdr:rowOff>569</xdr:rowOff>
    </xdr:to>
    <xdr:graphicFrame macro="">
      <xdr:nvGraphicFramePr>
        <xdr:cNvPr id="3" name="Graf 1">
          <a:extLst>
            <a:ext uri="{FF2B5EF4-FFF2-40B4-BE49-F238E27FC236}">
              <a16:creationId xmlns="" xmlns:a16="http://schemas.microsoft.com/office/drawing/2014/main" id="{E9FA4A9E-BFB1-4A0A-A828-316F1F1D4C9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26670</xdr:colOff>
      <xdr:row>25</xdr:row>
      <xdr:rowOff>76200</xdr:rowOff>
    </xdr:from>
    <xdr:to>
      <xdr:col>9</xdr:col>
      <xdr:colOff>561990</xdr:colOff>
      <xdr:row>46</xdr:row>
      <xdr:rowOff>65340</xdr:rowOff>
    </xdr:to>
    <xdr:graphicFrame macro="">
      <xdr:nvGraphicFramePr>
        <xdr:cNvPr id="4" name="Graf 1">
          <a:extLst>
            <a:ext uri="{FF2B5EF4-FFF2-40B4-BE49-F238E27FC236}">
              <a16:creationId xmlns="" xmlns:a16="http://schemas.microsoft.com/office/drawing/2014/main" id="{308B936B-9604-489C-8CA0-A70224832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81915</xdr:colOff>
      <xdr:row>25</xdr:row>
      <xdr:rowOff>74295</xdr:rowOff>
    </xdr:from>
    <xdr:to>
      <xdr:col>19</xdr:col>
      <xdr:colOff>228615</xdr:colOff>
      <xdr:row>46</xdr:row>
      <xdr:rowOff>71055</xdr:rowOff>
    </xdr:to>
    <xdr:graphicFrame macro="">
      <xdr:nvGraphicFramePr>
        <xdr:cNvPr id="5" name="Graf 1">
          <a:extLst>
            <a:ext uri="{FF2B5EF4-FFF2-40B4-BE49-F238E27FC236}">
              <a16:creationId xmlns="" xmlns:a16="http://schemas.microsoft.com/office/drawing/2014/main" id="{59086B25-C251-46A7-A70F-4ADB25AA4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40005</xdr:colOff>
      <xdr:row>51</xdr:row>
      <xdr:rowOff>15240</xdr:rowOff>
    </xdr:from>
    <xdr:to>
      <xdr:col>9</xdr:col>
      <xdr:colOff>575325</xdr:colOff>
      <xdr:row>72</xdr:row>
      <xdr:rowOff>12000</xdr:rowOff>
    </xdr:to>
    <xdr:graphicFrame macro="">
      <xdr:nvGraphicFramePr>
        <xdr:cNvPr id="6" name="Graf 1">
          <a:extLst>
            <a:ext uri="{FF2B5EF4-FFF2-40B4-BE49-F238E27FC236}">
              <a16:creationId xmlns="" xmlns:a16="http://schemas.microsoft.com/office/drawing/2014/main" id="{DD678336-C734-4D42-B41B-68A28962FB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70485</xdr:colOff>
      <xdr:row>51</xdr:row>
      <xdr:rowOff>0</xdr:rowOff>
    </xdr:from>
    <xdr:to>
      <xdr:col>19</xdr:col>
      <xdr:colOff>217185</xdr:colOff>
      <xdr:row>71</xdr:row>
      <xdr:rowOff>164400</xdr:rowOff>
    </xdr:to>
    <xdr:graphicFrame macro="">
      <xdr:nvGraphicFramePr>
        <xdr:cNvPr id="7" name="Graf 1">
          <a:extLst>
            <a:ext uri="{FF2B5EF4-FFF2-40B4-BE49-F238E27FC236}">
              <a16:creationId xmlns="" xmlns:a16="http://schemas.microsoft.com/office/drawing/2014/main" id="{9A60B610-DE95-45D1-A6E4-C79F855D8A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215265</xdr:colOff>
      <xdr:row>74</xdr:row>
      <xdr:rowOff>13335</xdr:rowOff>
    </xdr:from>
    <xdr:to>
      <xdr:col>14</xdr:col>
      <xdr:colOff>361965</xdr:colOff>
      <xdr:row>95</xdr:row>
      <xdr:rowOff>10095</xdr:rowOff>
    </xdr:to>
    <xdr:graphicFrame macro="">
      <xdr:nvGraphicFramePr>
        <xdr:cNvPr id="8" name="Graf 1">
          <a:extLst>
            <a:ext uri="{FF2B5EF4-FFF2-40B4-BE49-F238E27FC236}">
              <a16:creationId xmlns="" xmlns:a16="http://schemas.microsoft.com/office/drawing/2014/main" id="{DC22B720-732D-4366-92D8-C76FFBBB05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0.85143</cdr:x>
      <cdr:y>0.8102</cdr:y>
    </cdr:from>
    <cdr:to>
      <cdr:x>0.98476</cdr:x>
      <cdr:y>0.89802</cdr:y>
    </cdr:to>
    <cdr:sp macro="" textlink="">
      <cdr:nvSpPr>
        <cdr:cNvPr id="4" name="TextovéPole 3">
          <a:extLst xmlns:a="http://schemas.openxmlformats.org/drawingml/2006/main">
            <a:ext uri="{FF2B5EF4-FFF2-40B4-BE49-F238E27FC236}">
              <a16:creationId xmlns="" xmlns:a16="http://schemas.microsoft.com/office/drawing/2014/main" id="{79500821-70D7-4B83-B7CC-DE16805D149D}"/>
            </a:ext>
          </a:extLst>
        </cdr:cNvPr>
        <cdr:cNvSpPr txBox="1"/>
      </cdr:nvSpPr>
      <cdr:spPr>
        <a:xfrm xmlns:a="http://schemas.openxmlformats.org/drawingml/2006/main">
          <a:off x="8515350" y="5448300"/>
          <a:ext cx="13335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0.45429</cdr:x>
      <cdr:y>0.43201</cdr:y>
    </cdr:from>
    <cdr:to>
      <cdr:x>0.54571</cdr:x>
      <cdr:y>0.56799</cdr:y>
    </cdr:to>
    <cdr:sp macro="" textlink="">
      <cdr:nvSpPr>
        <cdr:cNvPr id="35" name="TextovéPole 34">
          <a:extLst xmlns:a="http://schemas.openxmlformats.org/drawingml/2006/main">
            <a:ext uri="{FF2B5EF4-FFF2-40B4-BE49-F238E27FC236}">
              <a16:creationId xmlns="" xmlns:a16="http://schemas.microsoft.com/office/drawing/2014/main" id="{E7C58489-147F-4638-B04D-FF6E54FD7D88}"/>
            </a:ext>
          </a:extLst>
        </cdr:cNvPr>
        <cdr:cNvSpPr txBox="1"/>
      </cdr:nvSpPr>
      <cdr:spPr>
        <a:xfrm xmlns:a="http://schemas.openxmlformats.org/drawingml/2006/main">
          <a:off x="4543425" y="29051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0.39727</cdr:x>
      <cdr:y>0.34201</cdr:y>
    </cdr:from>
    <cdr:to>
      <cdr:x>0.6284</cdr:x>
      <cdr:y>0.7154</cdr:y>
    </cdr:to>
    <cdr:grpSp>
      <cdr:nvGrpSpPr>
        <cdr:cNvPr id="2" name="Skupina 1">
          <a:extLst xmlns:a="http://schemas.openxmlformats.org/drawingml/2006/main">
            <a:ext uri="{FF2B5EF4-FFF2-40B4-BE49-F238E27FC236}">
              <a16:creationId xmlns="" xmlns:a16="http://schemas.microsoft.com/office/drawing/2014/main" id="{C4B4C4B2-BA36-45A0-86B5-D5A33C6BD81A}"/>
            </a:ext>
          </a:extLst>
        </cdr:cNvPr>
        <cdr:cNvGrpSpPr/>
      </cdr:nvGrpSpPr>
      <cdr:grpSpPr>
        <a:xfrm xmlns:a="http://schemas.openxmlformats.org/drawingml/2006/main">
          <a:off x="3970286" y="2297893"/>
          <a:ext cx="2309895" cy="2508728"/>
          <a:chOff x="3973197" y="2298121"/>
          <a:chExt cx="2311589" cy="2508977"/>
        </a:xfrm>
      </cdr:grpSpPr>
      <cdr:pic>
        <cdr:nvPicPr>
          <cdr:cNvPr id="3" name="Obrázek 2">
            <a:extLst xmlns:a="http://schemas.openxmlformats.org/drawingml/2006/main">
              <a:ext uri="{FF2B5EF4-FFF2-40B4-BE49-F238E27FC236}">
                <a16:creationId xmlns="" xmlns:a16="http://schemas.microsoft.com/office/drawing/2014/main" id="{2BA5EF11-1C1E-43ED-A6DD-F4CAE8910F48}"/>
              </a:ext>
            </a:extLst>
          </cdr:cNvPr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3973197" y="2298121"/>
            <a:ext cx="2311589" cy="2508977"/>
          </a:xfrm>
          <a:prstGeom xmlns:a="http://schemas.openxmlformats.org/drawingml/2006/main" prst="rect">
            <a:avLst/>
          </a:prstGeom>
        </cdr:spPr>
      </cdr:pic>
      <cdr:sp macro="" textlink="'data koláče'!$E$11">
        <cdr:nvSpPr>
          <cdr:cNvPr id="27" name="TextovéPole 26">
            <a:extLst xmlns:a="http://schemas.openxmlformats.org/drawingml/2006/main">
              <a:ext uri="{FF2B5EF4-FFF2-40B4-BE49-F238E27FC236}">
                <a16:creationId xmlns="" xmlns:a16="http://schemas.microsoft.com/office/drawing/2014/main" id="{659AD130-E07C-4638-8F21-04AE48BD77B1}"/>
              </a:ext>
            </a:extLst>
          </cdr:cNvPr>
          <cdr:cNvSpPr txBox="1"/>
        </cdr:nvSpPr>
        <cdr:spPr>
          <a:xfrm xmlns:a="http://schemas.openxmlformats.org/drawingml/2006/main">
            <a:off x="4288761" y="3331170"/>
            <a:ext cx="1963219" cy="41875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fld id="{A73173BA-EF77-4798-A4F1-A06E4CFEC0AA}" type="TxLink">
              <a:rPr lang="en-US" sz="24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10,28 MLD.KČ</a:t>
            </a:fld>
            <a:endParaRPr lang="cs-CZ" sz="2400"/>
          </a:p>
        </cdr:txBody>
      </cdr:sp>
    </cdr:grpSp>
  </cdr:relSizeAnchor>
  <cdr:relSizeAnchor xmlns:cdr="http://schemas.openxmlformats.org/drawingml/2006/chartDrawing">
    <cdr:from>
      <cdr:x>0.05904</cdr:x>
      <cdr:y>0.72562</cdr:y>
    </cdr:from>
    <cdr:to>
      <cdr:x>0.32116</cdr:x>
      <cdr:y>0.83811</cdr:y>
    </cdr:to>
    <cdr:grpSp>
      <cdr:nvGrpSpPr>
        <cdr:cNvPr id="63" name="Skupina 62">
          <a:extLst xmlns:a="http://schemas.openxmlformats.org/drawingml/2006/main">
            <a:ext uri="{FF2B5EF4-FFF2-40B4-BE49-F238E27FC236}">
              <a16:creationId xmlns="" xmlns:a16="http://schemas.microsoft.com/office/drawing/2014/main" id="{25C03806-6229-4F7C-A6C6-6F3621E0590D}"/>
            </a:ext>
          </a:extLst>
        </cdr:cNvPr>
        <cdr:cNvGrpSpPr/>
      </cdr:nvGrpSpPr>
      <cdr:grpSpPr>
        <a:xfrm xmlns:a="http://schemas.openxmlformats.org/drawingml/2006/main">
          <a:off x="590041" y="4875287"/>
          <a:ext cx="2619607" cy="755796"/>
          <a:chOff x="0" y="25287"/>
          <a:chExt cx="2540576" cy="756487"/>
        </a:xfrm>
      </cdr:grpSpPr>
      <cdr:grpSp>
        <cdr:nvGrpSpPr>
          <cdr:cNvPr id="64" name="Skupina 63">
            <a:extLst xmlns:a="http://schemas.openxmlformats.org/drawingml/2006/main">
              <a:ext uri="{FF2B5EF4-FFF2-40B4-BE49-F238E27FC236}">
                <a16:creationId xmlns="" xmlns:a16="http://schemas.microsoft.com/office/drawing/2014/main" id="{FA61CE32-FBCC-4F72-BACF-8C1FD00B0833}"/>
              </a:ext>
            </a:extLst>
          </cdr:cNvPr>
          <cdr:cNvGrpSpPr/>
        </cdr:nvGrpSpPr>
        <cdr:grpSpPr>
          <a:xfrm xmlns:a="http://schemas.openxmlformats.org/drawingml/2006/main">
            <a:off x="0" y="25287"/>
            <a:ext cx="2035689" cy="756487"/>
            <a:chOff x="0" y="25287"/>
            <a:chExt cx="1446071" cy="756469"/>
          </a:xfrm>
        </cdr:grpSpPr>
        <cdr:sp macro="" textlink="'data koláče'!$D$5">
          <cdr:nvSpPr>
            <cdr:cNvPr id="67" name="TextovéPole 2">
              <a:extLst xmlns:a="http://schemas.openxmlformats.org/drawingml/2006/main">
                <a:ext uri="{FF2B5EF4-FFF2-40B4-BE49-F238E27FC236}">
                  <a16:creationId xmlns="" xmlns:a16="http://schemas.microsoft.com/office/drawing/2014/main" id="{59F70D35-590E-4EF1-8F0E-D8B463553C1D}"/>
                </a:ext>
              </a:extLst>
            </cdr:cNvPr>
            <cdr:cNvSpPr txBox="1"/>
          </cdr:nvSpPr>
          <cdr:spPr>
            <a:xfrm xmlns:a="http://schemas.openxmlformats.org/drawingml/2006/main">
              <a:off x="0" y="25287"/>
              <a:ext cx="511210" cy="431980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l"/>
              <a:fld id="{3704ED89-0877-46D8-ABEB-C7F588DEF8B2}" type="TxLink">
                <a:rPr lang="en-US" sz="18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l"/>
                <a:t>3,3 %</a:t>
              </a:fld>
              <a:endParaRPr lang="cs-CZ" sz="1800" b="1"/>
            </a:p>
          </cdr:txBody>
        </cdr:sp>
        <cdr:sp macro="" textlink="'data koláče'!$B$5">
          <cdr:nvSpPr>
            <cdr:cNvPr id="68" name="TextovéPole 3">
              <a:extLst xmlns:a="http://schemas.openxmlformats.org/drawingml/2006/main">
                <a:ext uri="{FF2B5EF4-FFF2-40B4-BE49-F238E27FC236}">
                  <a16:creationId xmlns="" xmlns:a16="http://schemas.microsoft.com/office/drawing/2014/main" id="{EC5EF50D-9CD2-4B0C-88F3-9A93C4304E44}"/>
                </a:ext>
              </a:extLst>
            </cdr:cNvPr>
            <cdr:cNvSpPr txBox="1"/>
          </cdr:nvSpPr>
          <cdr:spPr>
            <a:xfrm xmlns:a="http://schemas.openxmlformats.org/drawingml/2006/main">
              <a:off x="5405" y="286203"/>
              <a:ext cx="1440666" cy="495553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l"/>
              <a:fld id="{1E6F9A3B-34C9-4FF8-BA8C-EB8757FEB1F7}" type="TxLink">
                <a:rPr lang="en-US" sz="11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l"/>
                <a:t>KAPITÁLOVÉ PŘÍJMY</a:t>
              </a:fld>
              <a:endParaRPr lang="cs-CZ" sz="1100" b="1"/>
            </a:p>
          </cdr:txBody>
        </cdr:sp>
        <cdr:sp macro="" textlink="'data koláče'!$E$5">
          <cdr:nvSpPr>
            <cdr:cNvPr id="69" name="TextovéPole 4">
              <a:extLst xmlns:a="http://schemas.openxmlformats.org/drawingml/2006/main">
                <a:ext uri="{FF2B5EF4-FFF2-40B4-BE49-F238E27FC236}">
                  <a16:creationId xmlns="" xmlns:a16="http://schemas.microsoft.com/office/drawing/2014/main" id="{D1EE1229-AF49-4E6D-993E-9407A128273C}"/>
                </a:ext>
              </a:extLst>
            </cdr:cNvPr>
            <cdr:cNvSpPr txBox="1"/>
          </cdr:nvSpPr>
          <cdr:spPr>
            <a:xfrm xmlns:a="http://schemas.openxmlformats.org/drawingml/2006/main">
              <a:off x="5407" y="448397"/>
              <a:ext cx="700805" cy="295261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l"/>
              <a:fld id="{DEFD91D8-1CFB-4D5D-A517-BA9E607E2298}" type="TxLink">
                <a:rPr lang="en-US" sz="11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l"/>
                <a:t>0,33 MLD.KČ</a:t>
              </a:fld>
              <a:endParaRPr lang="cs-CZ" sz="1100" b="1"/>
            </a:p>
          </cdr:txBody>
        </cdr:sp>
      </cdr:grpSp>
      <cdr:cxnSp macro="">
        <cdr:nvCxnSpPr>
          <cdr:cNvPr id="65" name="Přímá spojnice 64">
            <a:extLst xmlns:a="http://schemas.openxmlformats.org/drawingml/2006/main">
              <a:ext uri="{FF2B5EF4-FFF2-40B4-BE49-F238E27FC236}">
                <a16:creationId xmlns="" xmlns:a16="http://schemas.microsoft.com/office/drawing/2014/main" id="{10CDCBDF-0E46-4F53-82BC-D446F11CF683}"/>
              </a:ext>
            </a:extLst>
          </cdr:cNvPr>
          <cdr:cNvCxnSpPr/>
        </cdr:nvCxnSpPr>
        <cdr:spPr>
          <a:xfrm xmlns:a="http://schemas.openxmlformats.org/drawingml/2006/main" flipV="1">
            <a:off x="652317" y="289803"/>
            <a:ext cx="1771588" cy="0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6" name="Přímá spojnice 65">
            <a:extLst xmlns:a="http://schemas.openxmlformats.org/drawingml/2006/main">
              <a:ext uri="{FF2B5EF4-FFF2-40B4-BE49-F238E27FC236}">
                <a16:creationId xmlns="" xmlns:a16="http://schemas.microsoft.com/office/drawing/2014/main" id="{73D1839E-36CF-42DE-8926-256A5CB33FFF}"/>
              </a:ext>
            </a:extLst>
          </cdr:cNvPr>
          <cdr:cNvCxnSpPr/>
        </cdr:nvCxnSpPr>
        <cdr:spPr>
          <a:xfrm xmlns:a="http://schemas.openxmlformats.org/drawingml/2006/main" flipH="1">
            <a:off x="2422005" y="175523"/>
            <a:ext cx="118571" cy="111532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0.05895</cdr:x>
      <cdr:y>0.36721</cdr:y>
    </cdr:from>
    <cdr:to>
      <cdr:x>0.26851</cdr:x>
      <cdr:y>0.46785</cdr:y>
    </cdr:to>
    <cdr:grpSp>
      <cdr:nvGrpSpPr>
        <cdr:cNvPr id="70" name="Skupina 69">
          <a:extLst xmlns:a="http://schemas.openxmlformats.org/drawingml/2006/main">
            <a:ext uri="{FF2B5EF4-FFF2-40B4-BE49-F238E27FC236}">
              <a16:creationId xmlns="" xmlns:a16="http://schemas.microsoft.com/office/drawing/2014/main" id="{5580C5AD-9216-4D4B-8031-FE437771F782}"/>
            </a:ext>
          </a:extLst>
        </cdr:cNvPr>
        <cdr:cNvGrpSpPr/>
      </cdr:nvGrpSpPr>
      <cdr:grpSpPr>
        <a:xfrm xmlns:a="http://schemas.openxmlformats.org/drawingml/2006/main">
          <a:off x="589142" y="2467206"/>
          <a:ext cx="2094326" cy="676179"/>
          <a:chOff x="0" y="25308"/>
          <a:chExt cx="2031183" cy="676805"/>
        </a:xfrm>
      </cdr:grpSpPr>
      <cdr:grpSp>
        <cdr:nvGrpSpPr>
          <cdr:cNvPr id="71" name="Skupina 70">
            <a:extLst xmlns:a="http://schemas.openxmlformats.org/drawingml/2006/main">
              <a:ext uri="{FF2B5EF4-FFF2-40B4-BE49-F238E27FC236}">
                <a16:creationId xmlns="" xmlns:a16="http://schemas.microsoft.com/office/drawing/2014/main" id="{E1A15AFC-BCF4-4B94-B54C-EBAE24BD06BC}"/>
              </a:ext>
            </a:extLst>
          </cdr:cNvPr>
          <cdr:cNvGrpSpPr/>
        </cdr:nvGrpSpPr>
        <cdr:grpSpPr>
          <a:xfrm xmlns:a="http://schemas.openxmlformats.org/drawingml/2006/main">
            <a:off x="0" y="25308"/>
            <a:ext cx="1401474" cy="676805"/>
            <a:chOff x="0" y="25287"/>
            <a:chExt cx="1027229" cy="676236"/>
          </a:xfrm>
        </cdr:grpSpPr>
        <cdr:sp macro="" textlink="'data koláče'!$D$9">
          <cdr:nvSpPr>
            <cdr:cNvPr id="74" name="TextovéPole 2">
              <a:extLst xmlns:a="http://schemas.openxmlformats.org/drawingml/2006/main">
                <a:ext uri="{FF2B5EF4-FFF2-40B4-BE49-F238E27FC236}">
                  <a16:creationId xmlns="" xmlns:a16="http://schemas.microsoft.com/office/drawing/2014/main" id="{70E727BB-502E-4946-AAF4-27B224DF5DF1}"/>
                </a:ext>
              </a:extLst>
            </cdr:cNvPr>
            <cdr:cNvSpPr txBox="1"/>
          </cdr:nvSpPr>
          <cdr:spPr>
            <a:xfrm xmlns:a="http://schemas.openxmlformats.org/drawingml/2006/main">
              <a:off x="0" y="25287"/>
              <a:ext cx="505137" cy="431970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l"/>
              <a:fld id="{B956B65F-281E-4D69-B3D1-FBFD3CDA3C62}" type="TxLink">
                <a:rPr lang="en-US" sz="18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l"/>
                <a:t>7,4 %</a:t>
              </a:fld>
              <a:endParaRPr lang="cs-CZ" sz="1800" b="1"/>
            </a:p>
          </cdr:txBody>
        </cdr:sp>
        <cdr:sp macro="" textlink="'data koláče'!$B$9">
          <cdr:nvSpPr>
            <cdr:cNvPr id="75" name="TextovéPole 3">
              <a:extLst xmlns:a="http://schemas.openxmlformats.org/drawingml/2006/main">
                <a:ext uri="{FF2B5EF4-FFF2-40B4-BE49-F238E27FC236}">
                  <a16:creationId xmlns="" xmlns:a16="http://schemas.microsoft.com/office/drawing/2014/main" id="{1F1AA158-033B-4772-8E24-CC23D96B4381}"/>
                </a:ext>
              </a:extLst>
            </cdr:cNvPr>
            <cdr:cNvSpPr txBox="1"/>
          </cdr:nvSpPr>
          <cdr:spPr>
            <a:xfrm xmlns:a="http://schemas.openxmlformats.org/drawingml/2006/main">
              <a:off x="3839" y="286197"/>
              <a:ext cx="1023390" cy="247181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l"/>
              <a:fld id="{D04853E9-F05B-47B0-9647-AE65452B7F44}" type="TxLink">
                <a:rPr lang="en-US" sz="11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l"/>
                <a:t>NEDAŇOVÉ PŘÍJMY</a:t>
              </a:fld>
              <a:endParaRPr lang="cs-CZ" sz="1100" b="1"/>
            </a:p>
          </cdr:txBody>
        </cdr:sp>
        <cdr:sp macro="" textlink="'data koláče'!$E$9">
          <cdr:nvSpPr>
            <cdr:cNvPr id="76" name="TextovéPole 4">
              <a:extLst xmlns:a="http://schemas.openxmlformats.org/drawingml/2006/main">
                <a:ext uri="{FF2B5EF4-FFF2-40B4-BE49-F238E27FC236}">
                  <a16:creationId xmlns="" xmlns:a16="http://schemas.microsoft.com/office/drawing/2014/main" id="{14AE37C7-B6A7-4CA3-AF45-508A35009DD2}"/>
                </a:ext>
              </a:extLst>
            </cdr:cNvPr>
            <cdr:cNvSpPr txBox="1"/>
          </cdr:nvSpPr>
          <cdr:spPr>
            <a:xfrm xmlns:a="http://schemas.openxmlformats.org/drawingml/2006/main">
              <a:off x="3841" y="448387"/>
              <a:ext cx="698201" cy="253136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l"/>
              <a:fld id="{F12614A5-7832-4F99-8186-A529D6E52E95}" type="TxLink">
                <a:rPr lang="en-US" sz="11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l"/>
                <a:t>0,77 MLD.KČ</a:t>
              </a:fld>
              <a:endParaRPr lang="cs-CZ" sz="1100" b="1"/>
            </a:p>
          </cdr:txBody>
        </cdr:sp>
      </cdr:grpSp>
      <cdr:cxnSp macro="">
        <cdr:nvCxnSpPr>
          <cdr:cNvPr id="72" name="Přímá spojnice 71">
            <a:extLst xmlns:a="http://schemas.openxmlformats.org/drawingml/2006/main">
              <a:ext uri="{FF2B5EF4-FFF2-40B4-BE49-F238E27FC236}">
                <a16:creationId xmlns="" xmlns:a16="http://schemas.microsoft.com/office/drawing/2014/main" id="{EB6ED9B2-9547-496D-B1AA-B74B2A550A71}"/>
              </a:ext>
            </a:extLst>
          </cdr:cNvPr>
          <cdr:cNvCxnSpPr/>
        </cdr:nvCxnSpPr>
        <cdr:spPr>
          <a:xfrm xmlns:a="http://schemas.openxmlformats.org/drawingml/2006/main" flipV="1">
            <a:off x="649448" y="278473"/>
            <a:ext cx="1381735" cy="1324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0.26797</cdr:x>
      <cdr:y>0.4046</cdr:y>
    </cdr:from>
    <cdr:to>
      <cdr:x>0.28021</cdr:x>
      <cdr:y>0.42119</cdr:y>
    </cdr:to>
    <cdr:cxnSp macro="">
      <cdr:nvCxnSpPr>
        <cdr:cNvPr id="8" name="Přímá spojnice 7"/>
        <cdr:cNvCxnSpPr/>
      </cdr:nvCxnSpPr>
      <cdr:spPr>
        <a:xfrm xmlns:a="http://schemas.openxmlformats.org/drawingml/2006/main">
          <a:off x="2681235" y="2722577"/>
          <a:ext cx="122400" cy="1116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0.05772</cdr:x>
      <cdr:y>0.60822</cdr:y>
    </cdr:from>
    <cdr:to>
      <cdr:x>0.28182</cdr:x>
      <cdr:y>0.72071</cdr:y>
    </cdr:to>
    <cdr:grpSp>
      <cdr:nvGrpSpPr>
        <cdr:cNvPr id="6" name="Skupina 5"/>
        <cdr:cNvGrpSpPr/>
      </cdr:nvGrpSpPr>
      <cdr:grpSpPr>
        <a:xfrm xmlns:a="http://schemas.openxmlformats.org/drawingml/2006/main">
          <a:off x="576849" y="4086501"/>
          <a:ext cx="2239638" cy="755797"/>
          <a:chOff x="577526" y="3682403"/>
          <a:chExt cx="2242312" cy="756951"/>
        </a:xfrm>
      </cdr:grpSpPr>
      <cdr:grpSp>
        <cdr:nvGrpSpPr>
          <cdr:cNvPr id="28" name="Skupina 27">
            <a:extLst xmlns:a="http://schemas.openxmlformats.org/drawingml/2006/main">
              <a:ext uri="{FF2B5EF4-FFF2-40B4-BE49-F238E27FC236}">
                <a16:creationId xmlns="" xmlns:a16="http://schemas.microsoft.com/office/drawing/2014/main" id="{CFDE2BA3-9736-4A4A-A11B-D7EC3DB882BD}"/>
              </a:ext>
            </a:extLst>
          </cdr:cNvPr>
          <cdr:cNvGrpSpPr/>
        </cdr:nvGrpSpPr>
        <cdr:grpSpPr>
          <a:xfrm xmlns:a="http://schemas.openxmlformats.org/drawingml/2006/main">
            <a:off x="577526" y="3682403"/>
            <a:ext cx="2126598" cy="756951"/>
            <a:chOff x="1050412" y="3794141"/>
            <a:chExt cx="1646738" cy="756456"/>
          </a:xfrm>
        </cdr:grpSpPr>
        <cdr:grpSp>
          <cdr:nvGrpSpPr>
            <cdr:cNvPr id="52" name="Skupina 51">
              <a:extLst xmlns:a="http://schemas.openxmlformats.org/drawingml/2006/main">
                <a:ext uri="{FF2B5EF4-FFF2-40B4-BE49-F238E27FC236}">
                  <a16:creationId xmlns="" xmlns:a16="http://schemas.microsoft.com/office/drawing/2014/main" id="{4C07DC04-CCB1-44D5-8AE5-0FEB5820C406}"/>
                </a:ext>
              </a:extLst>
            </cdr:cNvPr>
            <cdr:cNvGrpSpPr/>
          </cdr:nvGrpSpPr>
          <cdr:grpSpPr>
            <a:xfrm xmlns:a="http://schemas.openxmlformats.org/drawingml/2006/main">
              <a:off x="1050412" y="3794141"/>
              <a:ext cx="1560397" cy="756456"/>
              <a:chOff x="-1" y="0"/>
              <a:chExt cx="1560324" cy="756505"/>
            </a:xfrm>
          </cdr:grpSpPr>
          <cdr:sp macro="" textlink="'data koláče'!$D$7">
            <cdr:nvSpPr>
              <cdr:cNvPr id="53" name="TextovéPole 2">
                <a:extLst xmlns:a="http://schemas.openxmlformats.org/drawingml/2006/main">
                  <a:ext uri="{FF2B5EF4-FFF2-40B4-BE49-F238E27FC236}">
                    <a16:creationId xmlns="" xmlns:a16="http://schemas.microsoft.com/office/drawing/2014/main" id="{26BDCEB8-9673-4EB5-B46F-C5DA132E5F5C}"/>
                  </a:ext>
                </a:extLst>
              </cdr:cNvPr>
              <cdr:cNvSpPr txBox="1"/>
            </cdr:nvSpPr>
            <cdr:spPr>
              <a:xfrm xmlns:a="http://schemas.openxmlformats.org/drawingml/2006/main">
                <a:off x="-1" y="0"/>
                <a:ext cx="900001" cy="432000"/>
              </a:xfrm>
              <a:prstGeom xmlns:a="http://schemas.openxmlformats.org/drawingml/2006/main" prst="rect">
                <a:avLst/>
              </a:prstGeom>
              <a:ln xmlns:a="http://schemas.openxmlformats.org/drawingml/2006/main">
                <a:noFill/>
              </a:ln>
            </cdr:spPr>
            <cdr:txBody>
              <a:bodyPr xmlns:a="http://schemas.openxmlformats.org/drawingml/2006/main" wrap="square" rtlCol="0"/>
              <a:lstStyle xmlns:a="http://schemas.openxmlformats.org/drawingml/2006/main"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l"/>
                <a:fld id="{0DB5E2F7-BCD1-4898-BE52-06AF0AB50290}" type="TxLink">
                  <a:rPr lang="en-US" sz="1800" b="1" i="0" u="none" strike="noStrike">
                    <a:solidFill>
                      <a:srgbClr val="000000"/>
                    </a:solidFill>
                    <a:latin typeface="Calibri"/>
                    <a:cs typeface="Calibri"/>
                  </a:rPr>
                  <a:pPr algn="l"/>
                  <a:t>8,0 %</a:t>
                </a:fld>
                <a:endParaRPr lang="cs-CZ" sz="1800" b="1"/>
              </a:p>
            </cdr:txBody>
          </cdr:sp>
          <cdr:sp macro="" textlink="'data koláče'!$B$7">
            <cdr:nvSpPr>
              <cdr:cNvPr id="54" name="TextovéPole 3">
                <a:extLst xmlns:a="http://schemas.openxmlformats.org/drawingml/2006/main">
                  <a:ext uri="{FF2B5EF4-FFF2-40B4-BE49-F238E27FC236}">
                    <a16:creationId xmlns="" xmlns:a16="http://schemas.microsoft.com/office/drawing/2014/main" id="{1E95BED2-2428-4C68-B6A0-F255782BAE1E}"/>
                  </a:ext>
                </a:extLst>
              </cdr:cNvPr>
              <cdr:cNvSpPr txBox="1"/>
            </cdr:nvSpPr>
            <cdr:spPr>
              <a:xfrm xmlns:a="http://schemas.openxmlformats.org/drawingml/2006/main">
                <a:off x="12323" y="251680"/>
                <a:ext cx="1548000" cy="504825"/>
              </a:xfrm>
              <a:prstGeom xmlns:a="http://schemas.openxmlformats.org/drawingml/2006/main" prst="rect">
                <a:avLst/>
              </a:prstGeom>
              <a:ln xmlns:a="http://schemas.openxmlformats.org/drawingml/2006/main">
                <a:noFill/>
              </a:ln>
            </cdr:spPr>
            <cdr:txBody>
              <a:bodyPr xmlns:a="http://schemas.openxmlformats.org/drawingml/2006/main" wrap="square" rtlCol="0"/>
              <a:lstStyle xmlns:a="http://schemas.openxmlformats.org/drawingml/2006/main"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l"/>
                <a:fld id="{A3A6B928-7D2D-45DC-9C6A-FFC905E42952}" type="TxLink">
                  <a:rPr lang="en-US" sz="1100" b="1" i="0" u="none" strike="noStrike">
                    <a:solidFill>
                      <a:srgbClr val="000000"/>
                    </a:solidFill>
                    <a:latin typeface="Calibri"/>
                    <a:cs typeface="Calibri"/>
                  </a:rPr>
                  <a:pPr algn="l"/>
                  <a:t>PŘIJATÉ TRANSFERY</a:t>
                </a:fld>
                <a:endParaRPr lang="cs-CZ" sz="1100" b="1"/>
              </a:p>
            </cdr:txBody>
          </cdr:sp>
          <cdr:sp macro="" textlink="'data koláče'!$E$7">
            <cdr:nvSpPr>
              <cdr:cNvPr id="55" name="TextovéPole 4">
                <a:extLst xmlns:a="http://schemas.openxmlformats.org/drawingml/2006/main">
                  <a:ext uri="{FF2B5EF4-FFF2-40B4-BE49-F238E27FC236}">
                    <a16:creationId xmlns="" xmlns:a16="http://schemas.microsoft.com/office/drawing/2014/main" id="{3E524412-D417-4413-89E6-F0938DD8B6DD}"/>
                  </a:ext>
                </a:extLst>
              </cdr:cNvPr>
              <cdr:cNvSpPr txBox="1"/>
            </cdr:nvSpPr>
            <cdr:spPr>
              <a:xfrm xmlns:a="http://schemas.openxmlformats.org/drawingml/2006/main">
                <a:off x="12324" y="423130"/>
                <a:ext cx="1266825" cy="295275"/>
              </a:xfrm>
              <a:prstGeom xmlns:a="http://schemas.openxmlformats.org/drawingml/2006/main" prst="rect">
                <a:avLst/>
              </a:prstGeom>
              <a:ln xmlns:a="http://schemas.openxmlformats.org/drawingml/2006/main">
                <a:noFill/>
              </a:ln>
            </cdr:spPr>
            <cdr:txBody>
              <a:bodyPr xmlns:a="http://schemas.openxmlformats.org/drawingml/2006/main" wrap="square" rtlCol="0"/>
              <a:lstStyle xmlns:a="http://schemas.openxmlformats.org/drawingml/2006/main"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l"/>
                <a:fld id="{107DC035-0756-4947-BF87-ABB68BF2A7BD}" type="TxLink">
                  <a:rPr lang="en-US" sz="1100" b="1" i="0" u="none" strike="noStrike">
                    <a:solidFill>
                      <a:srgbClr val="000000"/>
                    </a:solidFill>
                    <a:latin typeface="Calibri"/>
                    <a:cs typeface="Calibri"/>
                  </a:rPr>
                  <a:pPr algn="l"/>
                  <a:t>0,82 MLD.KČ</a:t>
                </a:fld>
                <a:endParaRPr lang="cs-CZ" sz="1100" b="1"/>
              </a:p>
            </cdr:txBody>
          </cdr:sp>
        </cdr:grpSp>
        <cdr:cxnSp macro="">
          <cdr:nvCxnSpPr>
            <cdr:cNvPr id="25" name="Přímá spojnice 24">
              <a:extLst xmlns:a="http://schemas.openxmlformats.org/drawingml/2006/main">
                <a:ext uri="{FF2B5EF4-FFF2-40B4-BE49-F238E27FC236}">
                  <a16:creationId xmlns="" xmlns:a16="http://schemas.microsoft.com/office/drawing/2014/main" id="{A181338F-946E-4C5D-9D8A-B5E63A451442}"/>
                </a:ext>
              </a:extLst>
            </cdr:cNvPr>
            <cdr:cNvCxnSpPr/>
          </cdr:nvCxnSpPr>
          <cdr:spPr>
            <a:xfrm xmlns:a="http://schemas.openxmlformats.org/drawingml/2006/main">
              <a:off x="1579068" y="4079813"/>
              <a:ext cx="1118082" cy="0"/>
            </a:xfrm>
            <a:prstGeom xmlns:a="http://schemas.openxmlformats.org/drawingml/2006/main" prst="line">
              <a:avLst/>
            </a:prstGeom>
          </cdr:spPr>
          <cdr:style>
            <a:lnRef xmlns:a="http://schemas.openxmlformats.org/drawingml/2006/main" idx="1">
              <a:schemeClr val="dk1"/>
            </a:lnRef>
            <a:fillRef xmlns:a="http://schemas.openxmlformats.org/drawingml/2006/main" idx="0">
              <a:schemeClr val="dk1"/>
            </a:fillRef>
            <a:effectRef xmlns:a="http://schemas.openxmlformats.org/drawingml/2006/main" idx="0">
              <a:schemeClr val="dk1"/>
            </a:effectRef>
            <a:fontRef xmlns:a="http://schemas.openxmlformats.org/drawingml/2006/main" idx="minor">
              <a:schemeClr val="tx1"/>
            </a:fontRef>
          </cdr:style>
        </cdr:cxnSp>
      </cdr:grpSp>
      <cdr:cxnSp macro="">
        <cdr:nvCxnSpPr>
          <cdr:cNvPr id="15" name="Přímá spojnice 14"/>
          <cdr:cNvCxnSpPr/>
        </cdr:nvCxnSpPr>
        <cdr:spPr>
          <a:xfrm xmlns:a="http://schemas.openxmlformats.org/drawingml/2006/main" flipV="1">
            <a:off x="2697438" y="3860800"/>
            <a:ext cx="122400" cy="111600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0.71806</cdr:x>
      <cdr:y>0.26439</cdr:y>
    </cdr:from>
    <cdr:to>
      <cdr:x>0.92673</cdr:x>
      <cdr:y>0.36606</cdr:y>
    </cdr:to>
    <cdr:grpSp>
      <cdr:nvGrpSpPr>
        <cdr:cNvPr id="5" name="Skupina 4"/>
        <cdr:cNvGrpSpPr/>
      </cdr:nvGrpSpPr>
      <cdr:grpSpPr>
        <a:xfrm xmlns:a="http://schemas.openxmlformats.org/drawingml/2006/main">
          <a:off x="7176236" y="1776380"/>
          <a:ext cx="2085432" cy="683100"/>
          <a:chOff x="7184654" y="1779092"/>
          <a:chExt cx="2087878" cy="684143"/>
        </a:xfrm>
      </cdr:grpSpPr>
      <cdr:grpSp>
        <cdr:nvGrpSpPr>
          <cdr:cNvPr id="38" name="Skupina 37">
            <a:extLst xmlns:a="http://schemas.openxmlformats.org/drawingml/2006/main">
              <a:ext uri="{FF2B5EF4-FFF2-40B4-BE49-F238E27FC236}">
                <a16:creationId xmlns="" xmlns:a16="http://schemas.microsoft.com/office/drawing/2014/main" id="{199720C5-4019-41A0-A55B-CC32ACBEE991}"/>
              </a:ext>
            </a:extLst>
          </cdr:cNvPr>
          <cdr:cNvGrpSpPr/>
        </cdr:nvGrpSpPr>
        <cdr:grpSpPr>
          <a:xfrm xmlns:a="http://schemas.openxmlformats.org/drawingml/2006/main">
            <a:off x="7184654" y="1779092"/>
            <a:ext cx="2087878" cy="684143"/>
            <a:chOff x="7955368" y="927101"/>
            <a:chExt cx="1706158" cy="683660"/>
          </a:xfrm>
        </cdr:grpSpPr>
        <cdr:grpSp>
          <cdr:nvGrpSpPr>
            <cdr:cNvPr id="24" name="Skupina 23">
              <a:extLst xmlns:a="http://schemas.openxmlformats.org/drawingml/2006/main">
                <a:ext uri="{FF2B5EF4-FFF2-40B4-BE49-F238E27FC236}">
                  <a16:creationId xmlns="" xmlns:a16="http://schemas.microsoft.com/office/drawing/2014/main" id="{D1F56A77-7FA3-4DC5-A098-3827D58B526A}"/>
                </a:ext>
              </a:extLst>
            </cdr:cNvPr>
            <cdr:cNvGrpSpPr/>
          </cdr:nvGrpSpPr>
          <cdr:grpSpPr>
            <a:xfrm xmlns:a="http://schemas.openxmlformats.org/drawingml/2006/main">
              <a:off x="7955368" y="927101"/>
              <a:ext cx="1706158" cy="683660"/>
              <a:chOff x="7955368" y="908051"/>
              <a:chExt cx="1706158" cy="683660"/>
            </a:xfrm>
          </cdr:grpSpPr>
          <cdr:sp macro="" textlink="'data koláče'!$D$3">
            <cdr:nvSpPr>
              <cdr:cNvPr id="30" name="TextovéPole 2">
                <a:extLst xmlns:a="http://schemas.openxmlformats.org/drawingml/2006/main">
                  <a:ext uri="{FF2B5EF4-FFF2-40B4-BE49-F238E27FC236}">
                    <a16:creationId xmlns="" xmlns:a16="http://schemas.microsoft.com/office/drawing/2014/main" id="{921AA75D-9228-4FBA-94F0-F021FBA7515A}"/>
                  </a:ext>
                </a:extLst>
              </cdr:cNvPr>
              <cdr:cNvSpPr txBox="1"/>
            </cdr:nvSpPr>
            <cdr:spPr>
              <a:xfrm xmlns:a="http://schemas.openxmlformats.org/drawingml/2006/main">
                <a:off x="8753854" y="908051"/>
                <a:ext cx="900000" cy="432000"/>
              </a:xfrm>
              <a:prstGeom xmlns:a="http://schemas.openxmlformats.org/drawingml/2006/main" prst="rect">
                <a:avLst/>
              </a:prstGeom>
              <a:ln xmlns:a="http://schemas.openxmlformats.org/drawingml/2006/main">
                <a:noFill/>
              </a:ln>
            </cdr:spPr>
            <cdr:txBody>
              <a:bodyPr xmlns:a="http://schemas.openxmlformats.org/drawingml/2006/main" wrap="square" rtlCol="0"/>
              <a:lstStyle xmlns:a="http://schemas.openxmlformats.org/drawingml/2006/main"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r"/>
                <a:fld id="{B5244EA0-D80A-48E9-A8EA-3564B34FA427}" type="TxLink">
                  <a:rPr lang="en-US" sz="1800" b="1" i="0" u="none" strike="noStrike">
                    <a:solidFill>
                      <a:srgbClr val="000000"/>
                    </a:solidFill>
                    <a:latin typeface="Calibri"/>
                    <a:cs typeface="Calibri"/>
                  </a:rPr>
                  <a:pPr algn="r"/>
                  <a:t>81,3 %</a:t>
                </a:fld>
                <a:endParaRPr lang="cs-CZ" sz="1800" b="1"/>
              </a:p>
            </cdr:txBody>
          </cdr:sp>
          <cdr:sp macro="" textlink="'data koláče'!$B$3">
            <cdr:nvSpPr>
              <cdr:cNvPr id="31" name="TextovéPole 3">
                <a:extLst xmlns:a="http://schemas.openxmlformats.org/drawingml/2006/main">
                  <a:ext uri="{FF2B5EF4-FFF2-40B4-BE49-F238E27FC236}">
                    <a16:creationId xmlns="" xmlns:a16="http://schemas.microsoft.com/office/drawing/2014/main" id="{BA7BD4C8-2CF8-4910-9755-7D11AC04AF4C}"/>
                  </a:ext>
                </a:extLst>
              </cdr:cNvPr>
              <cdr:cNvSpPr txBox="1"/>
            </cdr:nvSpPr>
            <cdr:spPr>
              <a:xfrm xmlns:a="http://schemas.openxmlformats.org/drawingml/2006/main">
                <a:off x="7955368" y="1169254"/>
                <a:ext cx="1692058" cy="254186"/>
              </a:xfrm>
              <a:prstGeom xmlns:a="http://schemas.openxmlformats.org/drawingml/2006/main" prst="rect">
                <a:avLst/>
              </a:prstGeom>
              <a:ln xmlns:a="http://schemas.openxmlformats.org/drawingml/2006/main">
                <a:noFill/>
              </a:ln>
            </cdr:spPr>
            <cdr:txBody>
              <a:bodyPr xmlns:a="http://schemas.openxmlformats.org/drawingml/2006/main" wrap="square" rtlCol="0"/>
              <a:lstStyle xmlns:a="http://schemas.openxmlformats.org/drawingml/2006/main"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r"/>
                <a:fld id="{1A5A2DD1-BA8C-4AB8-A0ED-D67E45E190E0}" type="TxLink">
                  <a:rPr lang="en-US" sz="1100" b="1" i="0" u="none" strike="noStrike">
                    <a:solidFill>
                      <a:srgbClr val="000000"/>
                    </a:solidFill>
                    <a:latin typeface="Calibri"/>
                    <a:cs typeface="Calibri"/>
                  </a:rPr>
                  <a:pPr algn="r"/>
                  <a:t>DAŇOVÉ PŘÍJMY</a:t>
                </a:fld>
                <a:endParaRPr lang="cs-CZ" sz="1100" b="1"/>
              </a:p>
            </cdr:txBody>
          </cdr:sp>
          <cdr:sp macro="" textlink="'data koláče'!$E$3">
            <cdr:nvSpPr>
              <cdr:cNvPr id="32" name="TextovéPole 4">
                <a:extLst xmlns:a="http://schemas.openxmlformats.org/drawingml/2006/main">
                  <a:ext uri="{FF2B5EF4-FFF2-40B4-BE49-F238E27FC236}">
                    <a16:creationId xmlns="" xmlns:a16="http://schemas.microsoft.com/office/drawing/2014/main" id="{1A3EEC55-922F-49C7-9F20-298C01D661FF}"/>
                  </a:ext>
                </a:extLst>
              </cdr:cNvPr>
              <cdr:cNvSpPr txBox="1"/>
            </cdr:nvSpPr>
            <cdr:spPr>
              <a:xfrm xmlns:a="http://schemas.openxmlformats.org/drawingml/2006/main">
                <a:off x="8394701" y="1331180"/>
                <a:ext cx="1266825" cy="260531"/>
              </a:xfrm>
              <a:prstGeom xmlns:a="http://schemas.openxmlformats.org/drawingml/2006/main" prst="rect">
                <a:avLst/>
              </a:prstGeom>
              <a:ln xmlns:a="http://schemas.openxmlformats.org/drawingml/2006/main">
                <a:noFill/>
              </a:ln>
            </cdr:spPr>
            <cdr:txBody>
              <a:bodyPr xmlns:a="http://schemas.openxmlformats.org/drawingml/2006/main" wrap="square" rtlCol="0"/>
              <a:lstStyle xmlns:a="http://schemas.openxmlformats.org/drawingml/2006/main"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r"/>
                <a:fld id="{C5089B0B-25D0-42FB-AEBE-501E8C508F48}" type="TxLink">
                  <a:rPr lang="en-US" sz="1100" b="1" i="0" u="none" strike="noStrike">
                    <a:solidFill>
                      <a:srgbClr val="000000"/>
                    </a:solidFill>
                    <a:latin typeface="Calibri"/>
                    <a:cs typeface="Calibri"/>
                  </a:rPr>
                  <a:pPr algn="r"/>
                  <a:t>8,36 MLD.KČ</a:t>
                </a:fld>
                <a:endParaRPr lang="cs-CZ" sz="1100" b="1"/>
              </a:p>
            </cdr:txBody>
          </cdr:sp>
        </cdr:grpSp>
        <cdr:cxnSp macro="">
          <cdr:nvCxnSpPr>
            <cdr:cNvPr id="37" name="Přímá spojnice 36">
              <a:extLst xmlns:a="http://schemas.openxmlformats.org/drawingml/2006/main">
                <a:ext uri="{FF2B5EF4-FFF2-40B4-BE49-F238E27FC236}">
                  <a16:creationId xmlns="" xmlns:a16="http://schemas.microsoft.com/office/drawing/2014/main" id="{0F2DC7FA-036C-4E44-BBA1-96739FEC76AD}"/>
                </a:ext>
              </a:extLst>
            </cdr:cNvPr>
            <cdr:cNvCxnSpPr/>
          </cdr:nvCxnSpPr>
          <cdr:spPr>
            <a:xfrm xmlns:a="http://schemas.openxmlformats.org/drawingml/2006/main" flipV="1">
              <a:off x="8115807" y="1209680"/>
              <a:ext cx="882547" cy="0"/>
            </a:xfrm>
            <a:prstGeom xmlns:a="http://schemas.openxmlformats.org/drawingml/2006/main" prst="line">
              <a:avLst/>
            </a:prstGeom>
            <a:ln xmlns:a="http://schemas.openxmlformats.org/drawingml/2006/main">
              <a:solidFill>
                <a:schemeClr val="bg2">
                  <a:lumMod val="25000"/>
                </a:schemeClr>
              </a:solidFill>
            </a:ln>
          </cdr:spPr>
          <cdr:style>
            <a:lnRef xmlns:a="http://schemas.openxmlformats.org/drawingml/2006/main" idx="1">
              <a:schemeClr val="accent1"/>
            </a:lnRef>
            <a:fillRef xmlns:a="http://schemas.openxmlformats.org/drawingml/2006/main" idx="0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tx1"/>
            </a:fontRef>
          </cdr:style>
        </cdr:cxnSp>
      </cdr:grpSp>
      <cdr:cxnSp macro="">
        <cdr:nvCxnSpPr>
          <cdr:cNvPr id="20" name="Přímá spojnice 19"/>
          <cdr:cNvCxnSpPr/>
        </cdr:nvCxnSpPr>
        <cdr:spPr>
          <a:xfrm xmlns:a="http://schemas.openxmlformats.org/drawingml/2006/main" flipH="1">
            <a:off x="7268902" y="2067634"/>
            <a:ext cx="123970" cy="113115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0008577" cy="6733442"/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0.85143</cdr:x>
      <cdr:y>0.8102</cdr:y>
    </cdr:from>
    <cdr:to>
      <cdr:x>0.98476</cdr:x>
      <cdr:y>0.89802</cdr:y>
    </cdr:to>
    <cdr:sp macro="" textlink="">
      <cdr:nvSpPr>
        <cdr:cNvPr id="4" name="TextovéPole 3">
          <a:extLst xmlns:a="http://schemas.openxmlformats.org/drawingml/2006/main">
            <a:ext uri="{FF2B5EF4-FFF2-40B4-BE49-F238E27FC236}">
              <a16:creationId xmlns="" xmlns:a16="http://schemas.microsoft.com/office/drawing/2014/main" id="{79500821-70D7-4B83-B7CC-DE16805D149D}"/>
            </a:ext>
          </a:extLst>
        </cdr:cNvPr>
        <cdr:cNvSpPr txBox="1"/>
      </cdr:nvSpPr>
      <cdr:spPr>
        <a:xfrm xmlns:a="http://schemas.openxmlformats.org/drawingml/2006/main">
          <a:off x="8515350" y="5448300"/>
          <a:ext cx="13335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0.45429</cdr:x>
      <cdr:y>0.43201</cdr:y>
    </cdr:from>
    <cdr:to>
      <cdr:x>0.54571</cdr:x>
      <cdr:y>0.56799</cdr:y>
    </cdr:to>
    <cdr:sp macro="" textlink="">
      <cdr:nvSpPr>
        <cdr:cNvPr id="35" name="TextovéPole 34">
          <a:extLst xmlns:a="http://schemas.openxmlformats.org/drawingml/2006/main">
            <a:ext uri="{FF2B5EF4-FFF2-40B4-BE49-F238E27FC236}">
              <a16:creationId xmlns="" xmlns:a16="http://schemas.microsoft.com/office/drawing/2014/main" id="{E7C58489-147F-4638-B04D-FF6E54FD7D88}"/>
            </a:ext>
          </a:extLst>
        </cdr:cNvPr>
        <cdr:cNvSpPr txBox="1"/>
      </cdr:nvSpPr>
      <cdr:spPr>
        <a:xfrm xmlns:a="http://schemas.openxmlformats.org/drawingml/2006/main">
          <a:off x="4543425" y="29051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0.39727</cdr:x>
      <cdr:y>0.34201</cdr:y>
    </cdr:from>
    <cdr:to>
      <cdr:x>0.6284</cdr:x>
      <cdr:y>0.7154</cdr:y>
    </cdr:to>
    <cdr:grpSp>
      <cdr:nvGrpSpPr>
        <cdr:cNvPr id="2" name="Skupina 1">
          <a:extLst xmlns:a="http://schemas.openxmlformats.org/drawingml/2006/main">
            <a:ext uri="{FF2B5EF4-FFF2-40B4-BE49-F238E27FC236}">
              <a16:creationId xmlns="" xmlns:a16="http://schemas.microsoft.com/office/drawing/2014/main" id="{8B10666E-5018-4AE2-A6A0-0694DC93DF0D}"/>
            </a:ext>
          </a:extLst>
        </cdr:cNvPr>
        <cdr:cNvGrpSpPr/>
      </cdr:nvGrpSpPr>
      <cdr:grpSpPr>
        <a:xfrm xmlns:a="http://schemas.openxmlformats.org/drawingml/2006/main">
          <a:off x="3976107" y="2302904"/>
          <a:ext cx="2313283" cy="2514200"/>
          <a:chOff x="3973197" y="2299898"/>
          <a:chExt cx="2311589" cy="2510917"/>
        </a:xfrm>
      </cdr:grpSpPr>
      <cdr:pic>
        <cdr:nvPicPr>
          <cdr:cNvPr id="3" name="Obrázek 2">
            <a:extLst xmlns:a="http://schemas.openxmlformats.org/drawingml/2006/main">
              <a:ext uri="{FF2B5EF4-FFF2-40B4-BE49-F238E27FC236}">
                <a16:creationId xmlns="" xmlns:a16="http://schemas.microsoft.com/office/drawing/2014/main" id="{2BA5EF11-1C1E-43ED-A6DD-F4CAE8910F48}"/>
              </a:ext>
            </a:extLst>
          </cdr:cNvPr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3973197" y="2299898"/>
            <a:ext cx="2311589" cy="2510917"/>
          </a:xfrm>
          <a:prstGeom xmlns:a="http://schemas.openxmlformats.org/drawingml/2006/main" prst="rect">
            <a:avLst/>
          </a:prstGeom>
        </cdr:spPr>
      </cdr:pic>
      <cdr:sp macro="" textlink="'data koláče'!$E$65">
        <cdr:nvSpPr>
          <cdr:cNvPr id="27" name="TextovéPole 26">
            <a:extLst xmlns:a="http://schemas.openxmlformats.org/drawingml/2006/main">
              <a:ext uri="{FF2B5EF4-FFF2-40B4-BE49-F238E27FC236}">
                <a16:creationId xmlns="" xmlns:a16="http://schemas.microsoft.com/office/drawing/2014/main" id="{659AD130-E07C-4638-8F21-04AE48BD77B1}"/>
              </a:ext>
            </a:extLst>
          </cdr:cNvPr>
          <cdr:cNvSpPr txBox="1"/>
        </cdr:nvSpPr>
        <cdr:spPr>
          <a:xfrm xmlns:a="http://schemas.openxmlformats.org/drawingml/2006/main">
            <a:off x="4358345" y="3333746"/>
            <a:ext cx="1893636" cy="41908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pPr algn="ctr"/>
            <a:fld id="{97FA45BE-0D36-4AE9-9AEE-D8E1E767ABFC}" type="TxLink">
              <a:rPr lang="en-US" sz="24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9,37 MLD.KČ</a:t>
            </a:fld>
            <a:endParaRPr lang="cs-CZ" sz="2400" b="1"/>
          </a:p>
        </cdr:txBody>
      </cdr:sp>
    </cdr:grpSp>
  </cdr:relSizeAnchor>
  <cdr:relSizeAnchor xmlns:cdr="http://schemas.openxmlformats.org/drawingml/2006/chartDrawing">
    <cdr:from>
      <cdr:x>0.06</cdr:x>
      <cdr:y>0.46058</cdr:y>
    </cdr:from>
    <cdr:to>
      <cdr:x>0.27593</cdr:x>
      <cdr:y>0.60198</cdr:y>
    </cdr:to>
    <cdr:grpSp>
      <cdr:nvGrpSpPr>
        <cdr:cNvPr id="5" name="Skupina 4">
          <a:extLst xmlns:a="http://schemas.openxmlformats.org/drawingml/2006/main">
            <a:ext uri="{FF2B5EF4-FFF2-40B4-BE49-F238E27FC236}">
              <a16:creationId xmlns="" xmlns:a16="http://schemas.microsoft.com/office/drawing/2014/main" id="{7921F31D-2E01-48BA-B620-581293264415}"/>
            </a:ext>
          </a:extLst>
        </cdr:cNvPr>
        <cdr:cNvGrpSpPr/>
      </cdr:nvGrpSpPr>
      <cdr:grpSpPr>
        <a:xfrm xmlns:a="http://schemas.openxmlformats.org/drawingml/2006/main">
          <a:off x="600515" y="3101289"/>
          <a:ext cx="2161152" cy="952108"/>
          <a:chOff x="495300" y="2266782"/>
          <a:chExt cx="2159536" cy="950162"/>
        </a:xfrm>
      </cdr:grpSpPr>
      <cdr:sp macro="" textlink="'data koláče'!$D$55">
        <cdr:nvSpPr>
          <cdr:cNvPr id="74" name="TextovéPole 2">
            <a:extLst xmlns:a="http://schemas.openxmlformats.org/drawingml/2006/main">
              <a:ext uri="{FF2B5EF4-FFF2-40B4-BE49-F238E27FC236}">
                <a16:creationId xmlns="" xmlns:a16="http://schemas.microsoft.com/office/drawing/2014/main" id="{70E727BB-502E-4946-AAF4-27B224DF5DF1}"/>
              </a:ext>
            </a:extLst>
          </cdr:cNvPr>
          <cdr:cNvSpPr txBox="1"/>
        </cdr:nvSpPr>
        <cdr:spPr>
          <a:xfrm xmlns:a="http://schemas.openxmlformats.org/drawingml/2006/main">
            <a:off x="495900" y="2266782"/>
            <a:ext cx="823376" cy="552282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fld id="{8CA5DE18-12EB-4389-BBE0-1E129242D4A5}" type="TxLink">
              <a:rPr lang="en-US" sz="18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l"/>
              <a:t>24,3 %</a:t>
            </a:fld>
            <a:endParaRPr lang="cs-CZ" sz="1800" b="1"/>
          </a:p>
        </cdr:txBody>
      </cdr:sp>
      <cdr:sp macro="" textlink="'data koláče'!$B$37">
        <cdr:nvSpPr>
          <cdr:cNvPr id="75" name="TextovéPole 3">
            <a:extLst xmlns:a="http://schemas.openxmlformats.org/drawingml/2006/main">
              <a:ext uri="{FF2B5EF4-FFF2-40B4-BE49-F238E27FC236}">
                <a16:creationId xmlns="" xmlns:a16="http://schemas.microsoft.com/office/drawing/2014/main" id="{1F1AA158-033B-4772-8E24-CC23D96B4381}"/>
              </a:ext>
            </a:extLst>
          </cdr:cNvPr>
          <cdr:cNvSpPr txBox="1"/>
        </cdr:nvSpPr>
        <cdr:spPr>
          <a:xfrm xmlns:a="http://schemas.openxmlformats.org/drawingml/2006/main">
            <a:off x="495300" y="2600362"/>
            <a:ext cx="2159536" cy="378634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fld id="{F8A9C665-4635-4BB4-8F6C-D39D3DA8498F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l"/>
              <a:t>PRŮMYSLOVÁ A OSTATNÍ ODVĚTVÍ HOSPODÁŘSTVÍ</a:t>
            </a:fld>
            <a:endParaRPr lang="cs-CZ" sz="1100" b="1"/>
          </a:p>
        </cdr:txBody>
      </cdr:sp>
      <cdr:sp macro="" textlink="'data koláče'!$E$55">
        <cdr:nvSpPr>
          <cdr:cNvPr id="76" name="TextovéPole 4">
            <a:extLst xmlns:a="http://schemas.openxmlformats.org/drawingml/2006/main">
              <a:ext uri="{FF2B5EF4-FFF2-40B4-BE49-F238E27FC236}">
                <a16:creationId xmlns="" xmlns:a16="http://schemas.microsoft.com/office/drawing/2014/main" id="{14AE37C7-B6A7-4CA3-AF45-508A35009DD2}"/>
              </a:ext>
            </a:extLst>
          </cdr:cNvPr>
          <cdr:cNvSpPr txBox="1"/>
        </cdr:nvSpPr>
        <cdr:spPr>
          <a:xfrm xmlns:a="http://schemas.openxmlformats.org/drawingml/2006/main">
            <a:off x="501676" y="2965787"/>
            <a:ext cx="1049723" cy="251157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fld id="{2C571E96-2378-481D-806F-F96073109A2A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l"/>
              <a:t>2,28 MLD.KČ</a:t>
            </a:fld>
            <a:endParaRPr lang="cs-CZ" sz="1100" b="1"/>
          </a:p>
        </cdr:txBody>
      </cdr:sp>
      <cdr:cxnSp macro="">
        <cdr:nvCxnSpPr>
          <cdr:cNvPr id="72" name="Přímá spojnice 71">
            <a:extLst xmlns:a="http://schemas.openxmlformats.org/drawingml/2006/main">
              <a:ext uri="{FF2B5EF4-FFF2-40B4-BE49-F238E27FC236}">
                <a16:creationId xmlns="" xmlns:a16="http://schemas.microsoft.com/office/drawing/2014/main" id="{EB6ED9B2-9547-496D-B1AA-B74B2A550A71}"/>
              </a:ext>
            </a:extLst>
          </cdr:cNvPr>
          <cdr:cNvCxnSpPr/>
        </cdr:nvCxnSpPr>
        <cdr:spPr>
          <a:xfrm xmlns:a="http://schemas.openxmlformats.org/drawingml/2006/main" flipV="1">
            <a:off x="1236219" y="2590186"/>
            <a:ext cx="1366665" cy="0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0.74727</cdr:x>
      <cdr:y>0.59884</cdr:y>
    </cdr:from>
    <cdr:to>
      <cdr:x>0.93805</cdr:x>
      <cdr:y>0.73868</cdr:y>
    </cdr:to>
    <cdr:grpSp>
      <cdr:nvGrpSpPr>
        <cdr:cNvPr id="18" name="Skupina 17">
          <a:extLst xmlns:a="http://schemas.openxmlformats.org/drawingml/2006/main">
            <a:ext uri="{FF2B5EF4-FFF2-40B4-BE49-F238E27FC236}">
              <a16:creationId xmlns="" xmlns:a16="http://schemas.microsoft.com/office/drawing/2014/main" id="{375552D8-3419-4381-87B8-567098D6A70F}"/>
            </a:ext>
          </a:extLst>
        </cdr:cNvPr>
        <cdr:cNvGrpSpPr/>
      </cdr:nvGrpSpPr>
      <cdr:grpSpPr>
        <a:xfrm xmlns:a="http://schemas.openxmlformats.org/drawingml/2006/main">
          <a:off x="7479109" y="4032254"/>
          <a:ext cx="1909437" cy="941605"/>
          <a:chOff x="7486650" y="3851255"/>
          <a:chExt cx="1909880" cy="940417"/>
        </a:xfrm>
      </cdr:grpSpPr>
      <cdr:grpSp>
        <cdr:nvGrpSpPr>
          <cdr:cNvPr id="80" name="Skupina 79">
            <a:extLst xmlns:a="http://schemas.openxmlformats.org/drawingml/2006/main">
              <a:ext uri="{FF2B5EF4-FFF2-40B4-BE49-F238E27FC236}">
                <a16:creationId xmlns="" xmlns:a16="http://schemas.microsoft.com/office/drawing/2014/main" id="{8ECE2924-074F-4228-9226-4D59ADB0658A}"/>
              </a:ext>
            </a:extLst>
          </cdr:cNvPr>
          <cdr:cNvGrpSpPr/>
        </cdr:nvGrpSpPr>
        <cdr:grpSpPr>
          <a:xfrm xmlns:a="http://schemas.openxmlformats.org/drawingml/2006/main">
            <a:off x="7486650" y="3851255"/>
            <a:ext cx="1909880" cy="940417"/>
            <a:chOff x="837203" y="0"/>
            <a:chExt cx="1908010" cy="940416"/>
          </a:xfrm>
        </cdr:grpSpPr>
        <cdr:sp macro="" textlink="'data koláče'!$D$61">
          <cdr:nvSpPr>
            <cdr:cNvPr id="81" name="TextovéPole 2">
              <a:extLst xmlns:a="http://schemas.openxmlformats.org/drawingml/2006/main">
                <a:ext uri="{FF2B5EF4-FFF2-40B4-BE49-F238E27FC236}">
                  <a16:creationId xmlns="" xmlns:a16="http://schemas.microsoft.com/office/drawing/2014/main" id="{9D1FCB71-C6C9-4D8E-8AC9-ACA3D4D2CE08}"/>
                </a:ext>
              </a:extLst>
            </cdr:cNvPr>
            <cdr:cNvSpPr txBox="1"/>
          </cdr:nvSpPr>
          <cdr:spPr>
            <a:xfrm xmlns:a="http://schemas.openxmlformats.org/drawingml/2006/main">
              <a:off x="1823719" y="0"/>
              <a:ext cx="901889" cy="552709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r"/>
              <a:fld id="{656808A9-455E-4112-9F30-3E7F88F6BC0C}" type="TxLink">
                <a:rPr lang="en-US" sz="18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r"/>
                <a:t>5,7 %</a:t>
              </a:fld>
              <a:endParaRPr lang="cs-CZ" sz="1800" b="1"/>
            </a:p>
          </cdr:txBody>
        </cdr:sp>
        <cdr:sp macro="" textlink="'data koláče'!$B$39">
          <cdr:nvSpPr>
            <cdr:cNvPr id="82" name="TextovéPole 3">
              <a:extLst xmlns:a="http://schemas.openxmlformats.org/drawingml/2006/main">
                <a:ext uri="{FF2B5EF4-FFF2-40B4-BE49-F238E27FC236}">
                  <a16:creationId xmlns="" xmlns:a16="http://schemas.microsoft.com/office/drawing/2014/main" id="{93C26BC7-2723-4E82-A74B-69D3D19A1BDD}"/>
                </a:ext>
              </a:extLst>
            </cdr:cNvPr>
            <cdr:cNvSpPr txBox="1"/>
          </cdr:nvSpPr>
          <cdr:spPr>
            <a:xfrm xmlns:a="http://schemas.openxmlformats.org/drawingml/2006/main">
              <a:off x="837203" y="333830"/>
              <a:ext cx="1908010" cy="405965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r"/>
              <a:fld id="{A8DB0A23-02C0-466E-B9C7-28633D5F4770}" type="TxLink">
                <a:rPr lang="en-US" sz="11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r"/>
                <a:t>BEZPEČNOST STÁTU A PRÁVNÍ OCHRANA</a:t>
              </a:fld>
              <a:endParaRPr lang="cs-CZ" sz="1100" b="1"/>
            </a:p>
          </cdr:txBody>
        </cdr:sp>
        <cdr:sp macro="" textlink="'data koláče'!$E$61">
          <cdr:nvSpPr>
            <cdr:cNvPr id="83" name="TextovéPole 4">
              <a:extLst xmlns:a="http://schemas.openxmlformats.org/drawingml/2006/main">
                <a:ext uri="{FF2B5EF4-FFF2-40B4-BE49-F238E27FC236}">
                  <a16:creationId xmlns="" xmlns:a16="http://schemas.microsoft.com/office/drawing/2014/main" id="{4AD52346-AC9F-45FD-A4C1-5990C14460BE}"/>
                </a:ext>
              </a:extLst>
            </cdr:cNvPr>
            <cdr:cNvSpPr txBox="1"/>
          </cdr:nvSpPr>
          <cdr:spPr>
            <a:xfrm xmlns:a="http://schemas.openxmlformats.org/drawingml/2006/main">
              <a:off x="1706192" y="680370"/>
              <a:ext cx="1035054" cy="260046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r"/>
              <a:fld id="{1BB3F79A-DA3C-4B8C-9842-3F59101D2488}" type="TxLink">
                <a:rPr lang="en-US" sz="11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r"/>
                <a:t>0,53 MLD.KČ</a:t>
              </a:fld>
              <a:endParaRPr lang="cs-CZ" sz="1100" b="1"/>
            </a:p>
          </cdr:txBody>
        </cdr:sp>
        <cdr:cxnSp macro="">
          <cdr:nvCxnSpPr>
            <cdr:cNvPr id="84" name="Přímá spojnice 83">
              <a:extLst xmlns:a="http://schemas.openxmlformats.org/drawingml/2006/main">
                <a:ext uri="{FF2B5EF4-FFF2-40B4-BE49-F238E27FC236}">
                  <a16:creationId xmlns="" xmlns:a16="http://schemas.microsoft.com/office/drawing/2014/main" id="{D5709E1E-0227-4CF3-B554-F7D57087B1E1}"/>
                </a:ext>
              </a:extLst>
            </cdr:cNvPr>
            <cdr:cNvCxnSpPr/>
          </cdr:nvCxnSpPr>
          <cdr:spPr>
            <a:xfrm xmlns:a="http://schemas.openxmlformats.org/drawingml/2006/main" flipV="1">
              <a:off x="1039417" y="305110"/>
              <a:ext cx="1007076" cy="0"/>
            </a:xfrm>
            <a:prstGeom xmlns:a="http://schemas.openxmlformats.org/drawingml/2006/main" prst="line">
              <a:avLst/>
            </a:prstGeom>
          </cdr:spPr>
          <cdr:style>
            <a:lnRef xmlns:a="http://schemas.openxmlformats.org/drawingml/2006/main" idx="1">
              <a:schemeClr val="dk1"/>
            </a:lnRef>
            <a:fillRef xmlns:a="http://schemas.openxmlformats.org/drawingml/2006/main" idx="0">
              <a:schemeClr val="dk1"/>
            </a:fillRef>
            <a:effectRef xmlns:a="http://schemas.openxmlformats.org/drawingml/2006/main" idx="0">
              <a:schemeClr val="dk1"/>
            </a:effectRef>
            <a:fontRef xmlns:a="http://schemas.openxmlformats.org/drawingml/2006/main" idx="minor">
              <a:schemeClr val="tx1"/>
            </a:fontRef>
          </cdr:style>
        </cdr:cxnSp>
      </cdr:grpSp>
      <cdr:cxnSp macro="">
        <cdr:nvCxnSpPr>
          <cdr:cNvPr id="15" name="Přímá spojnice 14">
            <a:extLst xmlns:a="http://schemas.openxmlformats.org/drawingml/2006/main">
              <a:ext uri="{FF2B5EF4-FFF2-40B4-BE49-F238E27FC236}">
                <a16:creationId xmlns="" xmlns:a16="http://schemas.microsoft.com/office/drawing/2014/main" id="{9AE3CA1C-4D50-44C6-B08E-23274B2898D2}"/>
              </a:ext>
            </a:extLst>
          </cdr:cNvPr>
          <cdr:cNvCxnSpPr/>
        </cdr:nvCxnSpPr>
        <cdr:spPr>
          <a:xfrm xmlns:a="http://schemas.openxmlformats.org/drawingml/2006/main" flipH="1" flipV="1">
            <a:off x="7571452" y="4048029"/>
            <a:ext cx="122464" cy="111532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0.74863</cdr:x>
      <cdr:y>0.37158</cdr:y>
    </cdr:from>
    <cdr:to>
      <cdr:x>0.93923</cdr:x>
      <cdr:y>0.51142</cdr:y>
    </cdr:to>
    <cdr:grpSp>
      <cdr:nvGrpSpPr>
        <cdr:cNvPr id="44" name="Skupina 43">
          <a:extLst xmlns:a="http://schemas.openxmlformats.org/drawingml/2006/main">
            <a:ext uri="{FF2B5EF4-FFF2-40B4-BE49-F238E27FC236}">
              <a16:creationId xmlns="" xmlns:a16="http://schemas.microsoft.com/office/drawing/2014/main" id="{D2E1B943-DFDE-4B7C-88B5-B1EF79D7CADE}"/>
            </a:ext>
          </a:extLst>
        </cdr:cNvPr>
        <cdr:cNvGrpSpPr/>
      </cdr:nvGrpSpPr>
      <cdr:grpSpPr>
        <a:xfrm xmlns:a="http://schemas.openxmlformats.org/drawingml/2006/main">
          <a:off x="7492721" y="2502012"/>
          <a:ext cx="1907635" cy="941605"/>
          <a:chOff x="0" y="0"/>
          <a:chExt cx="1908010" cy="940416"/>
        </a:xfrm>
      </cdr:grpSpPr>
      <cdr:grpSp>
        <cdr:nvGrpSpPr>
          <cdr:cNvPr id="45" name="Skupina 44">
            <a:extLst xmlns:a="http://schemas.openxmlformats.org/drawingml/2006/main">
              <a:ext uri="{FF2B5EF4-FFF2-40B4-BE49-F238E27FC236}">
                <a16:creationId xmlns="" xmlns:a16="http://schemas.microsoft.com/office/drawing/2014/main" id="{3FDAA13C-97AB-4C41-9471-5258FA20095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1908010" cy="940416"/>
            <a:chOff x="0" y="0"/>
            <a:chExt cx="1906142" cy="940415"/>
          </a:xfrm>
        </cdr:grpSpPr>
        <cdr:sp macro="" textlink="'data koláče'!$D$59">
          <cdr:nvSpPr>
            <cdr:cNvPr id="47" name="TextovéPole 2">
              <a:extLst xmlns:a="http://schemas.openxmlformats.org/drawingml/2006/main">
                <a:ext uri="{FF2B5EF4-FFF2-40B4-BE49-F238E27FC236}">
                  <a16:creationId xmlns="" xmlns:a16="http://schemas.microsoft.com/office/drawing/2014/main" id="{3006814F-ECDB-4E47-97EF-F05AF768B515}"/>
                </a:ext>
              </a:extLst>
            </cdr:cNvPr>
            <cdr:cNvSpPr txBox="1"/>
          </cdr:nvSpPr>
          <cdr:spPr>
            <a:xfrm xmlns:a="http://schemas.openxmlformats.org/drawingml/2006/main">
              <a:off x="985550" y="0"/>
              <a:ext cx="901006" cy="552708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r"/>
              <a:fld id="{B6703593-E2E2-40DF-A14E-309F1B3C8D97}" type="TxLink">
                <a:rPr lang="en-US" sz="18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r"/>
                <a:t>8,4 %</a:t>
              </a:fld>
              <a:endParaRPr lang="cs-CZ" sz="1800" b="1"/>
            </a:p>
          </cdr:txBody>
        </cdr:sp>
        <cdr:sp macro="" textlink="'data koláče'!$B$59">
          <cdr:nvSpPr>
            <cdr:cNvPr id="52" name="TextovéPole 3">
              <a:extLst xmlns:a="http://schemas.openxmlformats.org/drawingml/2006/main">
                <a:ext uri="{FF2B5EF4-FFF2-40B4-BE49-F238E27FC236}">
                  <a16:creationId xmlns="" xmlns:a16="http://schemas.microsoft.com/office/drawing/2014/main" id="{5644B919-6729-4199-A21D-C1457C973226}"/>
                </a:ext>
              </a:extLst>
            </cdr:cNvPr>
            <cdr:cNvSpPr txBox="1"/>
          </cdr:nvSpPr>
          <cdr:spPr>
            <a:xfrm xmlns:a="http://schemas.openxmlformats.org/drawingml/2006/main">
              <a:off x="0" y="333830"/>
              <a:ext cx="1906142" cy="405965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r"/>
              <a:fld id="{F15A1A3B-EAE1-436D-BCD0-D814DC1B20BE}" type="TxLink">
                <a:rPr lang="en-US" sz="11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r"/>
                <a:t>SOCIÁLNÍ VĚCI A POLITIKA ZAMĚSTNANOSTI</a:t>
              </a:fld>
              <a:endParaRPr lang="cs-CZ" sz="1100" b="1"/>
            </a:p>
          </cdr:txBody>
        </cdr:sp>
        <cdr:sp macro="" textlink="'data koláče'!$E$59">
          <cdr:nvSpPr>
            <cdr:cNvPr id="53" name="TextovéPole 4">
              <a:extLst xmlns:a="http://schemas.openxmlformats.org/drawingml/2006/main">
                <a:ext uri="{FF2B5EF4-FFF2-40B4-BE49-F238E27FC236}">
                  <a16:creationId xmlns="" xmlns:a16="http://schemas.microsoft.com/office/drawing/2014/main" id="{4DEDD8D8-C5BB-40F5-8AEE-B7102D421628}"/>
                </a:ext>
              </a:extLst>
            </cdr:cNvPr>
            <cdr:cNvSpPr txBox="1"/>
          </cdr:nvSpPr>
          <cdr:spPr>
            <a:xfrm xmlns:a="http://schemas.openxmlformats.org/drawingml/2006/main">
              <a:off x="868138" y="680369"/>
              <a:ext cx="1034041" cy="260046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r"/>
              <a:fld id="{7A65B4AB-8326-434E-9439-82B8B55305EF}" type="TxLink">
                <a:rPr lang="en-US" sz="11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r"/>
                <a:t>0,79 MLD.KČ</a:t>
              </a:fld>
              <a:endParaRPr lang="cs-CZ" sz="1100" b="1"/>
            </a:p>
          </cdr:txBody>
        </cdr:sp>
        <cdr:cxnSp macro="">
          <cdr:nvCxnSpPr>
            <cdr:cNvPr id="54" name="Přímá spojnice 53">
              <a:extLst xmlns:a="http://schemas.openxmlformats.org/drawingml/2006/main">
                <a:ext uri="{FF2B5EF4-FFF2-40B4-BE49-F238E27FC236}">
                  <a16:creationId xmlns="" xmlns:a16="http://schemas.microsoft.com/office/drawing/2014/main" id="{0466C2D9-44BA-450A-84F8-98A028E49BFE}"/>
                </a:ext>
              </a:extLst>
            </cdr:cNvPr>
            <cdr:cNvCxnSpPr/>
          </cdr:nvCxnSpPr>
          <cdr:spPr>
            <a:xfrm xmlns:a="http://schemas.openxmlformats.org/drawingml/2006/main">
              <a:off x="222498" y="314595"/>
              <a:ext cx="968958" cy="0"/>
            </a:xfrm>
            <a:prstGeom xmlns:a="http://schemas.openxmlformats.org/drawingml/2006/main" prst="line">
              <a:avLst/>
            </a:prstGeom>
          </cdr:spPr>
          <cdr:style>
            <a:lnRef xmlns:a="http://schemas.openxmlformats.org/drawingml/2006/main" idx="1">
              <a:schemeClr val="dk1"/>
            </a:lnRef>
            <a:fillRef xmlns:a="http://schemas.openxmlformats.org/drawingml/2006/main" idx="0">
              <a:schemeClr val="dk1"/>
            </a:fillRef>
            <a:effectRef xmlns:a="http://schemas.openxmlformats.org/drawingml/2006/main" idx="0">
              <a:schemeClr val="dk1"/>
            </a:effectRef>
            <a:fontRef xmlns:a="http://schemas.openxmlformats.org/drawingml/2006/main" idx="minor">
              <a:schemeClr val="tx1"/>
            </a:fontRef>
          </cdr:style>
        </cdr:cxnSp>
      </cdr:grpSp>
      <cdr:cxnSp macro="">
        <cdr:nvCxnSpPr>
          <cdr:cNvPr id="46" name="Přímá spojnice 45">
            <a:extLst xmlns:a="http://schemas.openxmlformats.org/drawingml/2006/main">
              <a:ext uri="{FF2B5EF4-FFF2-40B4-BE49-F238E27FC236}">
                <a16:creationId xmlns="" xmlns:a16="http://schemas.microsoft.com/office/drawing/2014/main" id="{7C1651B0-C622-46B2-A8C2-FDB862C47B84}"/>
              </a:ext>
            </a:extLst>
          </cdr:cNvPr>
          <cdr:cNvCxnSpPr/>
        </cdr:nvCxnSpPr>
        <cdr:spPr>
          <a:xfrm xmlns:a="http://schemas.openxmlformats.org/drawingml/2006/main" flipH="1">
            <a:off x="98099" y="314500"/>
            <a:ext cx="122460" cy="111532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0.06002</cdr:x>
      <cdr:y>0.15905</cdr:y>
    </cdr:from>
    <cdr:to>
      <cdr:x>0.37671</cdr:x>
      <cdr:y>0.27343</cdr:y>
    </cdr:to>
    <cdr:grpSp>
      <cdr:nvGrpSpPr>
        <cdr:cNvPr id="32" name="Skupina 31">
          <a:extLst xmlns:a="http://schemas.openxmlformats.org/drawingml/2006/main">
            <a:ext uri="{FF2B5EF4-FFF2-40B4-BE49-F238E27FC236}">
              <a16:creationId xmlns="" xmlns:a16="http://schemas.microsoft.com/office/drawing/2014/main" id="{34A1C2E5-4A43-4DAB-960A-5419C18E0563}"/>
            </a:ext>
          </a:extLst>
        </cdr:cNvPr>
        <cdr:cNvGrpSpPr/>
      </cdr:nvGrpSpPr>
      <cdr:grpSpPr>
        <a:xfrm xmlns:a="http://schemas.openxmlformats.org/drawingml/2006/main">
          <a:off x="600715" y="1070954"/>
          <a:ext cx="3169616" cy="770171"/>
          <a:chOff x="589170" y="1069560"/>
          <a:chExt cx="3170194" cy="769185"/>
        </a:xfrm>
      </cdr:grpSpPr>
      <cdr:grpSp>
        <cdr:nvGrpSpPr>
          <cdr:cNvPr id="62" name="Skupina 61">
            <a:extLst xmlns:a="http://schemas.openxmlformats.org/drawingml/2006/main">
              <a:ext uri="{FF2B5EF4-FFF2-40B4-BE49-F238E27FC236}">
                <a16:creationId xmlns="" xmlns:a16="http://schemas.microsoft.com/office/drawing/2014/main" id="{7C49E249-F167-4A09-A263-9E70EB85356B}"/>
              </a:ext>
            </a:extLst>
          </cdr:cNvPr>
          <cdr:cNvGrpSpPr/>
        </cdr:nvGrpSpPr>
        <cdr:grpSpPr>
          <a:xfrm xmlns:a="http://schemas.openxmlformats.org/drawingml/2006/main">
            <a:off x="589170" y="1069560"/>
            <a:ext cx="3055638" cy="769185"/>
            <a:chOff x="0" y="0"/>
            <a:chExt cx="3052660" cy="768617"/>
          </a:xfrm>
        </cdr:grpSpPr>
        <cdr:sp macro="" textlink="'data koláče'!$D$57">
          <cdr:nvSpPr>
            <cdr:cNvPr id="63" name="TextovéPole 2">
              <a:extLst xmlns:a="http://schemas.openxmlformats.org/drawingml/2006/main">
                <a:ext uri="{FF2B5EF4-FFF2-40B4-BE49-F238E27FC236}">
                  <a16:creationId xmlns="" xmlns:a16="http://schemas.microsoft.com/office/drawing/2014/main" id="{548B86DA-5478-4E2D-9E95-C55263739D04}"/>
                </a:ext>
              </a:extLst>
            </cdr:cNvPr>
            <cdr:cNvSpPr txBox="1"/>
          </cdr:nvSpPr>
          <cdr:spPr>
            <a:xfrm xmlns:a="http://schemas.openxmlformats.org/drawingml/2006/main">
              <a:off x="599" y="0"/>
              <a:ext cx="822573" cy="551874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l"/>
              <a:fld id="{909D8F86-ED9F-4B1A-A554-D2EBFA82EE7E}" type="TxLink">
                <a:rPr lang="en-US" sz="18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l"/>
                <a:t>30,6 %</a:t>
              </a:fld>
              <a:endParaRPr lang="cs-CZ" sz="1800" b="1"/>
            </a:p>
          </cdr:txBody>
        </cdr:sp>
        <cdr:sp macro="" textlink="'data koláče'!$B$57">
          <cdr:nvSpPr>
            <cdr:cNvPr id="64" name="TextovéPole 3">
              <a:extLst xmlns:a="http://schemas.openxmlformats.org/drawingml/2006/main">
                <a:ext uri="{FF2B5EF4-FFF2-40B4-BE49-F238E27FC236}">
                  <a16:creationId xmlns="" xmlns:a16="http://schemas.microsoft.com/office/drawing/2014/main" id="{8338863F-5230-4119-B6F7-1AB7D88A3B91}"/>
                </a:ext>
              </a:extLst>
            </cdr:cNvPr>
            <cdr:cNvSpPr txBox="1"/>
          </cdr:nvSpPr>
          <cdr:spPr>
            <a:xfrm xmlns:a="http://schemas.openxmlformats.org/drawingml/2006/main">
              <a:off x="0" y="333333"/>
              <a:ext cx="2157429" cy="378354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l"/>
              <a:fld id="{9D330D35-7C04-4871-8C5C-7E426B4B012C}" type="TxLink">
                <a:rPr lang="en-US" sz="11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l"/>
                <a:t>SLUŽBY PRO OBYVATELSTVO</a:t>
              </a:fld>
              <a:endParaRPr lang="cs-CZ" sz="1100" b="1"/>
            </a:p>
          </cdr:txBody>
        </cdr:sp>
        <cdr:sp macro="" textlink="'data koláče'!$E$57">
          <cdr:nvSpPr>
            <cdr:cNvPr id="65" name="TextovéPole 4">
              <a:extLst xmlns:a="http://schemas.openxmlformats.org/drawingml/2006/main">
                <a:ext uri="{FF2B5EF4-FFF2-40B4-BE49-F238E27FC236}">
                  <a16:creationId xmlns="" xmlns:a16="http://schemas.microsoft.com/office/drawing/2014/main" id="{D0FD8321-302D-4494-9023-6FE551AE0A4A}"/>
                </a:ext>
              </a:extLst>
            </cdr:cNvPr>
            <cdr:cNvSpPr txBox="1"/>
          </cdr:nvSpPr>
          <cdr:spPr>
            <a:xfrm xmlns:a="http://schemas.openxmlformats.org/drawingml/2006/main">
              <a:off x="6370" y="517646"/>
              <a:ext cx="1048699" cy="250971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l"/>
              <a:fld id="{0634C7BB-1F62-4B75-9B57-38FFEFE61569}" type="TxLink">
                <a:rPr lang="en-US" sz="11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l"/>
                <a:t>2,87 MLD.KČ</a:t>
              </a:fld>
              <a:endParaRPr lang="cs-CZ" sz="1100" b="1"/>
            </a:p>
          </cdr:txBody>
        </cdr:sp>
        <cdr:cxnSp macro="">
          <cdr:nvCxnSpPr>
            <cdr:cNvPr id="66" name="Přímá spojnice 65">
              <a:extLst xmlns:a="http://schemas.openxmlformats.org/drawingml/2006/main">
                <a:ext uri="{FF2B5EF4-FFF2-40B4-BE49-F238E27FC236}">
                  <a16:creationId xmlns="" xmlns:a16="http://schemas.microsoft.com/office/drawing/2014/main" id="{E6D9E0DA-B6BD-45C3-8D04-813E57258889}"/>
                </a:ext>
              </a:extLst>
            </cdr:cNvPr>
            <cdr:cNvCxnSpPr/>
          </cdr:nvCxnSpPr>
          <cdr:spPr>
            <a:xfrm xmlns:a="http://schemas.openxmlformats.org/drawingml/2006/main" flipV="1">
              <a:off x="740192" y="318163"/>
              <a:ext cx="2312468" cy="332"/>
            </a:xfrm>
            <a:prstGeom xmlns:a="http://schemas.openxmlformats.org/drawingml/2006/main" prst="line">
              <a:avLst/>
            </a:prstGeom>
          </cdr:spPr>
          <cdr:style>
            <a:lnRef xmlns:a="http://schemas.openxmlformats.org/drawingml/2006/main" idx="1">
              <a:schemeClr val="dk1"/>
            </a:lnRef>
            <a:fillRef xmlns:a="http://schemas.openxmlformats.org/drawingml/2006/main" idx="0">
              <a:schemeClr val="dk1"/>
            </a:fillRef>
            <a:effectRef xmlns:a="http://schemas.openxmlformats.org/drawingml/2006/main" idx="0">
              <a:schemeClr val="dk1"/>
            </a:effectRef>
            <a:fontRef xmlns:a="http://schemas.openxmlformats.org/drawingml/2006/main" idx="minor">
              <a:schemeClr val="tx1"/>
            </a:fontRef>
          </cdr:style>
        </cdr:cxnSp>
      </cdr:grpSp>
      <cdr:cxnSp macro="">
        <cdr:nvCxnSpPr>
          <cdr:cNvPr id="30" name="Přímá spojnice 29">
            <a:extLst xmlns:a="http://schemas.openxmlformats.org/drawingml/2006/main">
              <a:ext uri="{FF2B5EF4-FFF2-40B4-BE49-F238E27FC236}">
                <a16:creationId xmlns="" xmlns:a16="http://schemas.microsoft.com/office/drawing/2014/main" id="{822AB391-A33B-4998-B05C-8001AA4104E9}"/>
              </a:ext>
            </a:extLst>
          </cdr:cNvPr>
          <cdr:cNvCxnSpPr/>
        </cdr:nvCxnSpPr>
        <cdr:spPr>
          <a:xfrm xmlns:a="http://schemas.openxmlformats.org/drawingml/2006/main">
            <a:off x="3636904" y="1385153"/>
            <a:ext cx="122460" cy="111530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0.67264</cdr:x>
      <cdr:y>0.78454</cdr:y>
    </cdr:from>
    <cdr:to>
      <cdr:x>0.93972</cdr:x>
      <cdr:y>0.92439</cdr:y>
    </cdr:to>
    <cdr:grpSp>
      <cdr:nvGrpSpPr>
        <cdr:cNvPr id="69" name="Skupina 68">
          <a:extLst xmlns:a="http://schemas.openxmlformats.org/drawingml/2006/main">
            <a:ext uri="{FF2B5EF4-FFF2-40B4-BE49-F238E27FC236}">
              <a16:creationId xmlns="" xmlns:a16="http://schemas.microsoft.com/office/drawing/2014/main" id="{EA8D0967-D47C-48AF-9B28-24B39FFC58DC}"/>
            </a:ext>
          </a:extLst>
        </cdr:cNvPr>
        <cdr:cNvGrpSpPr/>
      </cdr:nvGrpSpPr>
      <cdr:grpSpPr>
        <a:xfrm xmlns:a="http://schemas.openxmlformats.org/drawingml/2006/main">
          <a:off x="6732169" y="5282655"/>
          <a:ext cx="2673091" cy="941671"/>
          <a:chOff x="-765751" y="0"/>
          <a:chExt cx="2673761" cy="940416"/>
        </a:xfrm>
      </cdr:grpSpPr>
      <cdr:grpSp>
        <cdr:nvGrpSpPr>
          <cdr:cNvPr id="70" name="Skupina 69">
            <a:extLst xmlns:a="http://schemas.openxmlformats.org/drawingml/2006/main">
              <a:ext uri="{FF2B5EF4-FFF2-40B4-BE49-F238E27FC236}">
                <a16:creationId xmlns="" xmlns:a16="http://schemas.microsoft.com/office/drawing/2014/main" id="{34EF5366-B530-4862-B999-848828C45050}"/>
              </a:ext>
            </a:extLst>
          </cdr:cNvPr>
          <cdr:cNvGrpSpPr/>
        </cdr:nvGrpSpPr>
        <cdr:grpSpPr>
          <a:xfrm xmlns:a="http://schemas.openxmlformats.org/drawingml/2006/main">
            <a:off x="-642078" y="0"/>
            <a:ext cx="2550088" cy="940416"/>
            <a:chOff x="-641448" y="0"/>
            <a:chExt cx="2547590" cy="940415"/>
          </a:xfrm>
        </cdr:grpSpPr>
        <cdr:sp macro="" textlink="'data koláče'!$D$63">
          <cdr:nvSpPr>
            <cdr:cNvPr id="73" name="TextovéPole 2">
              <a:extLst xmlns:a="http://schemas.openxmlformats.org/drawingml/2006/main">
                <a:ext uri="{FF2B5EF4-FFF2-40B4-BE49-F238E27FC236}">
                  <a16:creationId xmlns="" xmlns:a16="http://schemas.microsoft.com/office/drawing/2014/main" id="{CBE62250-C7BC-493B-B229-C6BAC5B9C814}"/>
                </a:ext>
              </a:extLst>
            </cdr:cNvPr>
            <cdr:cNvSpPr txBox="1"/>
          </cdr:nvSpPr>
          <cdr:spPr>
            <a:xfrm xmlns:a="http://schemas.openxmlformats.org/drawingml/2006/main">
              <a:off x="985550" y="0"/>
              <a:ext cx="901006" cy="552708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r"/>
              <a:fld id="{22D318BB-24A4-48D8-B485-149C630F830F}" type="TxLink">
                <a:rPr lang="en-US" sz="18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r"/>
                <a:t>30,5 %</a:t>
              </a:fld>
              <a:endParaRPr lang="cs-CZ" sz="1800" b="1"/>
            </a:p>
          </cdr:txBody>
        </cdr:sp>
        <cdr:sp macro="" textlink="'data koláče'!$B$63">
          <cdr:nvSpPr>
            <cdr:cNvPr id="77" name="TextovéPole 3">
              <a:extLst xmlns:a="http://schemas.openxmlformats.org/drawingml/2006/main">
                <a:ext uri="{FF2B5EF4-FFF2-40B4-BE49-F238E27FC236}">
                  <a16:creationId xmlns="" xmlns:a16="http://schemas.microsoft.com/office/drawing/2014/main" id="{C08C8F63-3620-4FD8-817C-2317B68C7E02}"/>
                </a:ext>
              </a:extLst>
            </cdr:cNvPr>
            <cdr:cNvSpPr txBox="1"/>
          </cdr:nvSpPr>
          <cdr:spPr>
            <a:xfrm xmlns:a="http://schemas.openxmlformats.org/drawingml/2006/main">
              <a:off x="-145907" y="333830"/>
              <a:ext cx="2052049" cy="405965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r"/>
              <a:fld id="{40808257-160A-422A-BB0D-399011B54887}" type="TxLink">
                <a:rPr lang="en-US" sz="11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r"/>
                <a:t>VŠEOBECNÁ VEŘEJNÁ SPRÁVA A SLUŽBY</a:t>
              </a:fld>
              <a:endParaRPr lang="cs-CZ" sz="1100" b="1"/>
            </a:p>
          </cdr:txBody>
        </cdr:sp>
        <cdr:sp macro="" textlink="'data koláče'!$E$63">
          <cdr:nvSpPr>
            <cdr:cNvPr id="78" name="TextovéPole 4">
              <a:extLst xmlns:a="http://schemas.openxmlformats.org/drawingml/2006/main">
                <a:ext uri="{FF2B5EF4-FFF2-40B4-BE49-F238E27FC236}">
                  <a16:creationId xmlns="" xmlns:a16="http://schemas.microsoft.com/office/drawing/2014/main" id="{C1D72AA5-722C-440B-BD19-7BA1E2315FAD}"/>
                </a:ext>
              </a:extLst>
            </cdr:cNvPr>
            <cdr:cNvSpPr txBox="1"/>
          </cdr:nvSpPr>
          <cdr:spPr>
            <a:xfrm xmlns:a="http://schemas.openxmlformats.org/drawingml/2006/main">
              <a:off x="868138" y="680369"/>
              <a:ext cx="1034041" cy="260046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r"/>
              <a:fld id="{CEDAFE46-B121-482D-9038-C3687FF7D187}" type="TxLink">
                <a:rPr lang="en-US" sz="11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r"/>
                <a:t>2,86 MLD.KČ</a:t>
              </a:fld>
              <a:endParaRPr lang="cs-CZ" sz="1100" b="1"/>
            </a:p>
          </cdr:txBody>
        </cdr:sp>
        <cdr:cxnSp macro="">
          <cdr:nvCxnSpPr>
            <cdr:cNvPr id="79" name="Přímá spojnice 78">
              <a:extLst xmlns:a="http://schemas.openxmlformats.org/drawingml/2006/main">
                <a:ext uri="{FF2B5EF4-FFF2-40B4-BE49-F238E27FC236}">
                  <a16:creationId xmlns="" xmlns:a16="http://schemas.microsoft.com/office/drawing/2014/main" id="{0408238B-341F-4FB0-A6DF-9A7B7639BC4E}"/>
                </a:ext>
              </a:extLst>
            </cdr:cNvPr>
            <cdr:cNvCxnSpPr/>
          </cdr:nvCxnSpPr>
          <cdr:spPr>
            <a:xfrm xmlns:a="http://schemas.openxmlformats.org/drawingml/2006/main" flipV="1">
              <a:off x="-641448" y="291656"/>
              <a:ext cx="1763230" cy="0"/>
            </a:xfrm>
            <a:prstGeom xmlns:a="http://schemas.openxmlformats.org/drawingml/2006/main" prst="line">
              <a:avLst/>
            </a:prstGeom>
          </cdr:spPr>
          <cdr:style>
            <a:lnRef xmlns:a="http://schemas.openxmlformats.org/drawingml/2006/main" idx="1">
              <a:schemeClr val="dk1"/>
            </a:lnRef>
            <a:fillRef xmlns:a="http://schemas.openxmlformats.org/drawingml/2006/main" idx="0">
              <a:schemeClr val="dk1"/>
            </a:fillRef>
            <a:effectRef xmlns:a="http://schemas.openxmlformats.org/drawingml/2006/main" idx="0">
              <a:schemeClr val="dk1"/>
            </a:effectRef>
            <a:fontRef xmlns:a="http://schemas.openxmlformats.org/drawingml/2006/main" idx="minor">
              <a:schemeClr val="tx1"/>
            </a:fontRef>
          </cdr:style>
        </cdr:cxnSp>
      </cdr:grpSp>
      <cdr:cxnSp macro="">
        <cdr:nvCxnSpPr>
          <cdr:cNvPr id="71" name="Přímá spojnice 70">
            <a:extLst xmlns:a="http://schemas.openxmlformats.org/drawingml/2006/main">
              <a:ext uri="{FF2B5EF4-FFF2-40B4-BE49-F238E27FC236}">
                <a16:creationId xmlns="" xmlns:a16="http://schemas.microsoft.com/office/drawing/2014/main" id="{E94DB810-C4BA-44E8-8BED-C688FB6C5E79}"/>
              </a:ext>
            </a:extLst>
          </cdr:cNvPr>
          <cdr:cNvCxnSpPr/>
        </cdr:nvCxnSpPr>
        <cdr:spPr>
          <a:xfrm xmlns:a="http://schemas.openxmlformats.org/drawingml/2006/main" flipH="1" flipV="1">
            <a:off x="-765751" y="180904"/>
            <a:ext cx="122465" cy="111524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0.05744</cdr:x>
      <cdr:y>0.72609</cdr:y>
    </cdr:from>
    <cdr:to>
      <cdr:x>0.32619</cdr:x>
      <cdr:y>0.84022</cdr:y>
    </cdr:to>
    <cdr:grpSp>
      <cdr:nvGrpSpPr>
        <cdr:cNvPr id="42" name="Skupina 41">
          <a:extLst xmlns:a="http://schemas.openxmlformats.org/drawingml/2006/main">
            <a:ext uri="{FF2B5EF4-FFF2-40B4-BE49-F238E27FC236}">
              <a16:creationId xmlns:lc="http://schemas.openxmlformats.org/drawingml/2006/lockedCanvas" xmlns:a16="http://schemas.microsoft.com/office/drawing/2014/main" xmlns="" id="{34A1C2E5-4A43-4DAB-960A-5419C18E0563}"/>
            </a:ext>
          </a:extLst>
        </cdr:cNvPr>
        <cdr:cNvGrpSpPr/>
      </cdr:nvGrpSpPr>
      <cdr:grpSpPr>
        <a:xfrm xmlns:a="http://schemas.openxmlformats.org/drawingml/2006/main">
          <a:off x="574893" y="4889085"/>
          <a:ext cx="2689805" cy="768488"/>
          <a:chOff x="-1" y="0"/>
          <a:chExt cx="2690429" cy="767550"/>
        </a:xfrm>
      </cdr:grpSpPr>
      <cdr:grpSp>
        <cdr:nvGrpSpPr>
          <cdr:cNvPr id="43" name="Skupina 42">
            <a:extLst xmlns:a="http://schemas.openxmlformats.org/drawingml/2006/main">
              <a:ext uri="{FF2B5EF4-FFF2-40B4-BE49-F238E27FC236}">
                <a16:creationId xmlns:lc="http://schemas.openxmlformats.org/drawingml/2006/lockedCanvas" xmlns:a16="http://schemas.microsoft.com/office/drawing/2014/main" xmlns="" id="{7C49E249-F167-4A09-A263-9E70EB85356B}"/>
              </a:ext>
            </a:extLst>
          </cdr:cNvPr>
          <cdr:cNvGrpSpPr/>
        </cdr:nvGrpSpPr>
        <cdr:grpSpPr>
          <a:xfrm xmlns:a="http://schemas.openxmlformats.org/drawingml/2006/main">
            <a:off x="-1" y="0"/>
            <a:ext cx="2573263" cy="767550"/>
            <a:chOff x="-1" y="0"/>
            <a:chExt cx="2570805" cy="768050"/>
          </a:xfrm>
        </cdr:grpSpPr>
        <cdr:sp macro="" textlink="'data koláče'!$D$53">
          <cdr:nvSpPr>
            <cdr:cNvPr id="49" name="TextovéPole 2">
              <a:extLst xmlns:a="http://schemas.openxmlformats.org/drawingml/2006/main">
                <a:ext uri="{FF2B5EF4-FFF2-40B4-BE49-F238E27FC236}">
                  <a16:creationId xmlns:lc="http://schemas.openxmlformats.org/drawingml/2006/lockedCanvas" xmlns:a16="http://schemas.microsoft.com/office/drawing/2014/main" xmlns="" id="{548B86DA-5478-4E2D-9E95-C55263739D04}"/>
                </a:ext>
              </a:extLst>
            </cdr:cNvPr>
            <cdr:cNvSpPr txBox="1"/>
          </cdr:nvSpPr>
          <cdr:spPr>
            <a:xfrm xmlns:a="http://schemas.openxmlformats.org/drawingml/2006/main">
              <a:off x="598" y="0"/>
              <a:ext cx="821771" cy="551466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l"/>
              <a:fld id="{0855C5CC-BD24-4425-BC9F-D172D2890F15}" type="TxLink">
                <a:rPr lang="en-US" sz="18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l"/>
                <a:t>0,5 %</a:t>
              </a:fld>
              <a:endParaRPr lang="cs-CZ" sz="1800" b="1"/>
            </a:p>
          </cdr:txBody>
        </cdr:sp>
        <cdr:sp macro="" textlink="'data koláče'!$B$53">
          <cdr:nvSpPr>
            <cdr:cNvPr id="50" name="TextovéPole 3">
              <a:extLst xmlns:a="http://schemas.openxmlformats.org/drawingml/2006/main">
                <a:ext uri="{FF2B5EF4-FFF2-40B4-BE49-F238E27FC236}">
                  <a16:creationId xmlns:lc="http://schemas.openxmlformats.org/drawingml/2006/lockedCanvas" xmlns:a16="http://schemas.microsoft.com/office/drawing/2014/main" xmlns="" id="{8338863F-5230-4119-B6F7-1AB7D88A3B91}"/>
                </a:ext>
              </a:extLst>
            </cdr:cNvPr>
            <cdr:cNvSpPr txBox="1"/>
          </cdr:nvSpPr>
          <cdr:spPr>
            <a:xfrm xmlns:a="http://schemas.openxmlformats.org/drawingml/2006/main">
              <a:off x="-1" y="333087"/>
              <a:ext cx="2421204" cy="242327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l"/>
              <a:fld id="{579C0E4E-86C3-4BD3-A8D3-03503586A138}" type="TxLink">
                <a:rPr lang="en-US" sz="11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l"/>
                <a:t>ZEMĚDĚLSTVÍ A LESNÍ HOSPODÁŘSTVÍ</a:t>
              </a:fld>
              <a:endParaRPr lang="cs-CZ" sz="1100" b="1"/>
            </a:p>
          </cdr:txBody>
        </cdr:sp>
        <cdr:sp macro="" textlink="'data koláče'!$E$53">
          <cdr:nvSpPr>
            <cdr:cNvPr id="51" name="TextovéPole 4">
              <a:extLst xmlns:a="http://schemas.openxmlformats.org/drawingml/2006/main">
                <a:ext uri="{FF2B5EF4-FFF2-40B4-BE49-F238E27FC236}">
                  <a16:creationId xmlns:lc="http://schemas.openxmlformats.org/drawingml/2006/lockedCanvas" xmlns:a16="http://schemas.microsoft.com/office/drawing/2014/main" xmlns="" id="{D0FD8321-302D-4494-9023-6FE551AE0A4A}"/>
                </a:ext>
              </a:extLst>
            </cdr:cNvPr>
            <cdr:cNvSpPr txBox="1"/>
          </cdr:nvSpPr>
          <cdr:spPr>
            <a:xfrm xmlns:a="http://schemas.openxmlformats.org/drawingml/2006/main">
              <a:off x="6364" y="517264"/>
              <a:ext cx="1047676" cy="250786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l"/>
              <a:fld id="{835154FF-BDC7-4A01-8935-61C045578249}" type="TxLink">
                <a:rPr lang="en-US" sz="11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l"/>
                <a:t>0,04 MLD.KČ</a:t>
              </a:fld>
              <a:endParaRPr lang="cs-CZ" sz="1100" b="1"/>
            </a:p>
          </cdr:txBody>
        </cdr:sp>
        <cdr:cxnSp macro="">
          <cdr:nvCxnSpPr>
            <cdr:cNvPr id="55" name="Přímá spojnice 54">
              <a:extLst xmlns:a="http://schemas.openxmlformats.org/drawingml/2006/main">
                <a:ext uri="{FF2B5EF4-FFF2-40B4-BE49-F238E27FC236}">
                  <a16:creationId xmlns:lc="http://schemas.openxmlformats.org/drawingml/2006/lockedCanvas" xmlns:a16="http://schemas.microsoft.com/office/drawing/2014/main" xmlns="" id="{E6D9E0DA-B6BD-45C3-8D04-813E57258889}"/>
                </a:ext>
              </a:extLst>
            </cdr:cNvPr>
            <cdr:cNvCxnSpPr/>
          </cdr:nvCxnSpPr>
          <cdr:spPr>
            <a:xfrm xmlns:a="http://schemas.openxmlformats.org/drawingml/2006/main" flipV="1">
              <a:off x="736597" y="328678"/>
              <a:ext cx="1834207" cy="0"/>
            </a:xfrm>
            <a:prstGeom xmlns:a="http://schemas.openxmlformats.org/drawingml/2006/main" prst="line">
              <a:avLst/>
            </a:prstGeom>
          </cdr:spPr>
          <cdr:style>
            <a:lnRef xmlns:a="http://schemas.openxmlformats.org/drawingml/2006/main" idx="1">
              <a:schemeClr val="dk1"/>
            </a:lnRef>
            <a:fillRef xmlns:a="http://schemas.openxmlformats.org/drawingml/2006/main" idx="0">
              <a:schemeClr val="dk1"/>
            </a:fillRef>
            <a:effectRef xmlns:a="http://schemas.openxmlformats.org/drawingml/2006/main" idx="0">
              <a:schemeClr val="dk1"/>
            </a:effectRef>
            <a:fontRef xmlns:a="http://schemas.openxmlformats.org/drawingml/2006/main" idx="minor">
              <a:schemeClr val="tx1"/>
            </a:fontRef>
          </cdr:style>
        </cdr:cxnSp>
      </cdr:grpSp>
      <cdr:cxnSp macro="">
        <cdr:nvCxnSpPr>
          <cdr:cNvPr id="48" name="Přímá spojnice 47">
            <a:extLst xmlns:a="http://schemas.openxmlformats.org/drawingml/2006/main">
              <a:ext uri="{FF2B5EF4-FFF2-40B4-BE49-F238E27FC236}">
                <a16:creationId xmlns:lc="http://schemas.openxmlformats.org/drawingml/2006/lockedCanvas" xmlns:a16="http://schemas.microsoft.com/office/drawing/2014/main" xmlns="" id="{822AB391-A33B-4998-B05C-8001AA4104E9}"/>
              </a:ext>
            </a:extLst>
          </cdr:cNvPr>
          <cdr:cNvCxnSpPr/>
        </cdr:nvCxnSpPr>
        <cdr:spPr>
          <a:xfrm xmlns:a="http://schemas.openxmlformats.org/drawingml/2006/main" flipV="1">
            <a:off x="2567964" y="215590"/>
            <a:ext cx="122464" cy="111537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993923" cy="6718788"/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0.85143</cdr:x>
      <cdr:y>0.8102</cdr:y>
    </cdr:from>
    <cdr:to>
      <cdr:x>0.98476</cdr:x>
      <cdr:y>0.89802</cdr:y>
    </cdr:to>
    <cdr:sp macro="" textlink="">
      <cdr:nvSpPr>
        <cdr:cNvPr id="4" name="TextovéPole 3">
          <a:extLst xmlns:a="http://schemas.openxmlformats.org/drawingml/2006/main">
            <a:ext uri="{FF2B5EF4-FFF2-40B4-BE49-F238E27FC236}">
              <a16:creationId xmlns="" xmlns:a16="http://schemas.microsoft.com/office/drawing/2014/main" id="{79500821-70D7-4B83-B7CC-DE16805D149D}"/>
            </a:ext>
          </a:extLst>
        </cdr:cNvPr>
        <cdr:cNvSpPr txBox="1"/>
      </cdr:nvSpPr>
      <cdr:spPr>
        <a:xfrm xmlns:a="http://schemas.openxmlformats.org/drawingml/2006/main">
          <a:off x="8515350" y="5448300"/>
          <a:ext cx="13335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0.45429</cdr:x>
      <cdr:y>0.43201</cdr:y>
    </cdr:from>
    <cdr:to>
      <cdr:x>0.54571</cdr:x>
      <cdr:y>0.56799</cdr:y>
    </cdr:to>
    <cdr:sp macro="" textlink="">
      <cdr:nvSpPr>
        <cdr:cNvPr id="35" name="TextovéPole 34">
          <a:extLst xmlns:a="http://schemas.openxmlformats.org/drawingml/2006/main">
            <a:ext uri="{FF2B5EF4-FFF2-40B4-BE49-F238E27FC236}">
              <a16:creationId xmlns="" xmlns:a16="http://schemas.microsoft.com/office/drawing/2014/main" id="{E7C58489-147F-4638-B04D-FF6E54FD7D88}"/>
            </a:ext>
          </a:extLst>
        </cdr:cNvPr>
        <cdr:cNvSpPr txBox="1"/>
      </cdr:nvSpPr>
      <cdr:spPr>
        <a:xfrm xmlns:a="http://schemas.openxmlformats.org/drawingml/2006/main">
          <a:off x="4543425" y="29051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0.39727</cdr:x>
      <cdr:y>0.34201</cdr:y>
    </cdr:from>
    <cdr:to>
      <cdr:x>0.6284</cdr:x>
      <cdr:y>0.7154</cdr:y>
    </cdr:to>
    <cdr:grpSp>
      <cdr:nvGrpSpPr>
        <cdr:cNvPr id="6" name="Skupina 5">
          <a:extLst xmlns:a="http://schemas.openxmlformats.org/drawingml/2006/main">
            <a:ext uri="{FF2B5EF4-FFF2-40B4-BE49-F238E27FC236}">
              <a16:creationId xmlns="" xmlns:a16="http://schemas.microsoft.com/office/drawing/2014/main" id="{3DC0E8CE-1F71-4736-8C54-B808D91DFE4E}"/>
            </a:ext>
          </a:extLst>
        </cdr:cNvPr>
        <cdr:cNvGrpSpPr/>
      </cdr:nvGrpSpPr>
      <cdr:grpSpPr>
        <a:xfrm xmlns:a="http://schemas.openxmlformats.org/drawingml/2006/main">
          <a:off x="3970286" y="2297893"/>
          <a:ext cx="2309895" cy="2508728"/>
          <a:chOff x="3973197" y="2298121"/>
          <a:chExt cx="2311589" cy="2508977"/>
        </a:xfrm>
      </cdr:grpSpPr>
      <cdr:pic>
        <cdr:nvPicPr>
          <cdr:cNvPr id="3" name="Obrázek 2">
            <a:extLst xmlns:a="http://schemas.openxmlformats.org/drawingml/2006/main">
              <a:ext uri="{FF2B5EF4-FFF2-40B4-BE49-F238E27FC236}">
                <a16:creationId xmlns="" xmlns:a16="http://schemas.microsoft.com/office/drawing/2014/main" id="{2BA5EF11-1C1E-43ED-A6DD-F4CAE8910F48}"/>
              </a:ext>
            </a:extLst>
          </cdr:cNvPr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3973197" y="2298121"/>
            <a:ext cx="2311589" cy="2508977"/>
          </a:xfrm>
          <a:prstGeom xmlns:a="http://schemas.openxmlformats.org/drawingml/2006/main" prst="rect">
            <a:avLst/>
          </a:prstGeom>
        </cdr:spPr>
      </cdr:pic>
      <cdr:sp macro="" textlink="'data koláče'!$E$29">
        <cdr:nvSpPr>
          <cdr:cNvPr id="27" name="TextovéPole 26">
            <a:extLst xmlns:a="http://schemas.openxmlformats.org/drawingml/2006/main">
              <a:ext uri="{FF2B5EF4-FFF2-40B4-BE49-F238E27FC236}">
                <a16:creationId xmlns="" xmlns:a16="http://schemas.microsoft.com/office/drawing/2014/main" id="{659AD130-E07C-4638-8F21-04AE48BD77B1}"/>
              </a:ext>
            </a:extLst>
          </cdr:cNvPr>
          <cdr:cNvSpPr txBox="1"/>
        </cdr:nvSpPr>
        <cdr:spPr>
          <a:xfrm xmlns:a="http://schemas.openxmlformats.org/drawingml/2006/main">
            <a:off x="4358345" y="3331170"/>
            <a:ext cx="1893636" cy="41875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pPr algn="ctr"/>
            <a:fld id="{8CBD75B8-D8BB-4A25-90CB-E5FECD782E3A}" type="TxLink">
              <a:rPr lang="en-US" sz="24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7,84 MLD.KČ</a:t>
            </a:fld>
            <a:endParaRPr lang="cs-CZ" sz="2400" b="1"/>
          </a:p>
        </cdr:txBody>
      </cdr:sp>
    </cdr:grpSp>
  </cdr:relSizeAnchor>
  <cdr:relSizeAnchor xmlns:cdr="http://schemas.openxmlformats.org/drawingml/2006/chartDrawing">
    <cdr:from>
      <cdr:x>0.06285</cdr:x>
      <cdr:y>0.44641</cdr:y>
    </cdr:from>
    <cdr:to>
      <cdr:x>0.27619</cdr:x>
      <cdr:y>0.59206</cdr:y>
    </cdr:to>
    <cdr:grpSp>
      <cdr:nvGrpSpPr>
        <cdr:cNvPr id="5" name="Skupina 4">
          <a:extLst xmlns:a="http://schemas.openxmlformats.org/drawingml/2006/main">
            <a:ext uri="{FF2B5EF4-FFF2-40B4-BE49-F238E27FC236}">
              <a16:creationId xmlns="" xmlns:a16="http://schemas.microsoft.com/office/drawing/2014/main" id="{7921F31D-2E01-48BA-B620-581293264415}"/>
            </a:ext>
          </a:extLst>
        </cdr:cNvPr>
        <cdr:cNvGrpSpPr/>
      </cdr:nvGrpSpPr>
      <cdr:grpSpPr>
        <a:xfrm xmlns:a="http://schemas.openxmlformats.org/drawingml/2006/main">
          <a:off x="628118" y="2999334"/>
          <a:ext cx="2132104" cy="978592"/>
          <a:chOff x="495301" y="2266782"/>
          <a:chExt cx="2133587" cy="978741"/>
        </a:xfrm>
      </cdr:grpSpPr>
      <cdr:sp macro="" textlink="'data koláče'!$D$19">
        <cdr:nvSpPr>
          <cdr:cNvPr id="74" name="TextovéPole 2">
            <a:extLst xmlns:a="http://schemas.openxmlformats.org/drawingml/2006/main">
              <a:ext uri="{FF2B5EF4-FFF2-40B4-BE49-F238E27FC236}">
                <a16:creationId xmlns="" xmlns:a16="http://schemas.microsoft.com/office/drawing/2014/main" id="{70E727BB-502E-4946-AAF4-27B224DF5DF1}"/>
              </a:ext>
            </a:extLst>
          </cdr:cNvPr>
          <cdr:cNvSpPr txBox="1"/>
        </cdr:nvSpPr>
        <cdr:spPr>
          <a:xfrm xmlns:a="http://schemas.openxmlformats.org/drawingml/2006/main">
            <a:off x="495900" y="2266782"/>
            <a:ext cx="823376" cy="552282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fld id="{7753370F-00A9-41DA-A13F-F0B3800B7C38}" type="TxLink">
              <a:rPr lang="en-US" sz="18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l"/>
              <a:t>22,9 %</a:t>
            </a:fld>
            <a:endParaRPr lang="cs-CZ" sz="1800" b="1"/>
          </a:p>
        </cdr:txBody>
      </cdr:sp>
      <cdr:sp macro="" textlink="'data koláče'!$B$19">
        <cdr:nvSpPr>
          <cdr:cNvPr id="75" name="TextovéPole 3">
            <a:extLst xmlns:a="http://schemas.openxmlformats.org/drawingml/2006/main">
              <a:ext uri="{FF2B5EF4-FFF2-40B4-BE49-F238E27FC236}">
                <a16:creationId xmlns="" xmlns:a16="http://schemas.microsoft.com/office/drawing/2014/main" id="{1F1AA158-033B-4772-8E24-CC23D96B4381}"/>
              </a:ext>
            </a:extLst>
          </cdr:cNvPr>
          <cdr:cNvSpPr txBox="1"/>
        </cdr:nvSpPr>
        <cdr:spPr>
          <a:xfrm xmlns:a="http://schemas.openxmlformats.org/drawingml/2006/main">
            <a:off x="495301" y="2600361"/>
            <a:ext cx="2133587" cy="426247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fld id="{20E525F2-E248-4BEC-8AB2-F20B39BABACF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l"/>
              <a:t>PRŮMYSLOVÁ A OSTATNÍ ODVĚTVÍ HOSPODÁŘSTVÍ</a:t>
            </a:fld>
            <a:endParaRPr lang="cs-CZ" sz="1100" b="1"/>
          </a:p>
        </cdr:txBody>
      </cdr:sp>
      <cdr:sp macro="" textlink="'data koláče'!$E$19">
        <cdr:nvSpPr>
          <cdr:cNvPr id="76" name="TextovéPole 4">
            <a:extLst xmlns:a="http://schemas.openxmlformats.org/drawingml/2006/main">
              <a:ext uri="{FF2B5EF4-FFF2-40B4-BE49-F238E27FC236}">
                <a16:creationId xmlns="" xmlns:a16="http://schemas.microsoft.com/office/drawing/2014/main" id="{14AE37C7-B6A7-4CA3-AF45-508A35009DD2}"/>
              </a:ext>
            </a:extLst>
          </cdr:cNvPr>
          <cdr:cNvSpPr txBox="1"/>
        </cdr:nvSpPr>
        <cdr:spPr>
          <a:xfrm xmlns:a="http://schemas.openxmlformats.org/drawingml/2006/main">
            <a:off x="501676" y="2965788"/>
            <a:ext cx="1049723" cy="279735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fld id="{7E5A65A7-500B-4212-8CBC-12366E9BA4EB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l"/>
              <a:t>1,80 MLD.KČ</a:t>
            </a:fld>
            <a:endParaRPr lang="cs-CZ" sz="1100" b="1"/>
          </a:p>
        </cdr:txBody>
      </cdr:sp>
      <cdr:cxnSp macro="">
        <cdr:nvCxnSpPr>
          <cdr:cNvPr id="72" name="Přímá spojnice 71">
            <a:extLst xmlns:a="http://schemas.openxmlformats.org/drawingml/2006/main">
              <a:ext uri="{FF2B5EF4-FFF2-40B4-BE49-F238E27FC236}">
                <a16:creationId xmlns="" xmlns:a16="http://schemas.microsoft.com/office/drawing/2014/main" id="{EB6ED9B2-9547-496D-B1AA-B74B2A550A71}"/>
              </a:ext>
            </a:extLst>
          </cdr:cNvPr>
          <cdr:cNvCxnSpPr/>
        </cdr:nvCxnSpPr>
        <cdr:spPr>
          <a:xfrm xmlns:a="http://schemas.openxmlformats.org/drawingml/2006/main" flipV="1">
            <a:off x="1236219" y="2590186"/>
            <a:ext cx="1330683" cy="0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0.76516</cdr:x>
      <cdr:y>0.43597</cdr:y>
    </cdr:from>
    <cdr:to>
      <cdr:x>0.95659</cdr:x>
      <cdr:y>0.57233</cdr:y>
    </cdr:to>
    <cdr:grpSp>
      <cdr:nvGrpSpPr>
        <cdr:cNvPr id="85" name="Skupina 84">
          <a:extLst xmlns:a="http://schemas.openxmlformats.org/drawingml/2006/main">
            <a:ext uri="{FF2B5EF4-FFF2-40B4-BE49-F238E27FC236}">
              <a16:creationId xmlns="" xmlns:a16="http://schemas.microsoft.com/office/drawing/2014/main" id="{6EA51F2A-150C-4139-AD08-D237372A0501}"/>
            </a:ext>
          </a:extLst>
        </cdr:cNvPr>
        <cdr:cNvGrpSpPr/>
      </cdr:nvGrpSpPr>
      <cdr:grpSpPr>
        <a:xfrm xmlns:a="http://schemas.openxmlformats.org/drawingml/2006/main">
          <a:off x="7646950" y="2929190"/>
          <a:ext cx="1913137" cy="916174"/>
          <a:chOff x="839097" y="23471"/>
          <a:chExt cx="1914379" cy="916945"/>
        </a:xfrm>
      </cdr:grpSpPr>
      <cdr:sp macro="" textlink="'data koláče'!$D$25">
        <cdr:nvSpPr>
          <cdr:cNvPr id="86" name="TextovéPole 2">
            <a:extLst xmlns:a="http://schemas.openxmlformats.org/drawingml/2006/main">
              <a:ext uri="{FF2B5EF4-FFF2-40B4-BE49-F238E27FC236}">
                <a16:creationId xmlns="" xmlns:a16="http://schemas.microsoft.com/office/drawing/2014/main" id="{EF7B48B2-DFF9-492B-81A7-CC64D80C17F0}"/>
              </a:ext>
            </a:extLst>
          </cdr:cNvPr>
          <cdr:cNvSpPr txBox="1"/>
        </cdr:nvSpPr>
        <cdr:spPr>
          <a:xfrm xmlns:a="http://schemas.openxmlformats.org/drawingml/2006/main">
            <a:off x="1835946" y="23471"/>
            <a:ext cx="901889" cy="55270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r"/>
            <a:fld id="{9354E3A0-6BEC-4A07-B9A9-3DD59C644D8C}" type="TxLink">
              <a:rPr lang="en-US" sz="18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6,4 %</a:t>
            </a:fld>
            <a:endParaRPr lang="cs-CZ" sz="1800" b="1"/>
          </a:p>
        </cdr:txBody>
      </cdr:sp>
      <cdr:sp macro="" textlink="'data koláče'!$B$25">
        <cdr:nvSpPr>
          <cdr:cNvPr id="87" name="TextovéPole 3">
            <a:extLst xmlns:a="http://schemas.openxmlformats.org/drawingml/2006/main">
              <a:ext uri="{FF2B5EF4-FFF2-40B4-BE49-F238E27FC236}">
                <a16:creationId xmlns="" xmlns:a16="http://schemas.microsoft.com/office/drawing/2014/main" id="{1440724A-95D7-46A0-9249-1DEF655FC70E}"/>
              </a:ext>
            </a:extLst>
          </cdr:cNvPr>
          <cdr:cNvSpPr txBox="1"/>
        </cdr:nvSpPr>
        <cdr:spPr>
          <a:xfrm xmlns:a="http://schemas.openxmlformats.org/drawingml/2006/main">
            <a:off x="930320" y="333831"/>
            <a:ext cx="1817597" cy="425018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r"/>
            <a:fld id="{0A2BAC08-B5AB-40F7-AAE5-FDE0E376EEFC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BEZPEČNOST STÁTU A PRÁVNÍ OCHRANA</a:t>
            </a:fld>
            <a:endParaRPr lang="cs-CZ" sz="1100" b="1"/>
          </a:p>
        </cdr:txBody>
      </cdr:sp>
      <cdr:sp macro="" textlink="'data koláče'!$E$25">
        <cdr:nvSpPr>
          <cdr:cNvPr id="88" name="TextovéPole 4">
            <a:extLst xmlns:a="http://schemas.openxmlformats.org/drawingml/2006/main">
              <a:ext uri="{FF2B5EF4-FFF2-40B4-BE49-F238E27FC236}">
                <a16:creationId xmlns="" xmlns:a16="http://schemas.microsoft.com/office/drawing/2014/main" id="{D31214FA-5691-47FD-A769-E1B2086CE576}"/>
              </a:ext>
            </a:extLst>
          </cdr:cNvPr>
          <cdr:cNvSpPr txBox="1"/>
        </cdr:nvSpPr>
        <cdr:spPr>
          <a:xfrm xmlns:a="http://schemas.openxmlformats.org/drawingml/2006/main">
            <a:off x="1718422" y="680370"/>
            <a:ext cx="1035054" cy="260046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r"/>
            <a:fld id="{354CF6B1-3E22-451F-8340-880553381588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0,50 MLD.KČ</a:t>
            </a:fld>
            <a:endParaRPr lang="cs-CZ" sz="1100" b="1"/>
          </a:p>
        </cdr:txBody>
      </cdr:sp>
      <cdr:cxnSp macro="">
        <cdr:nvCxnSpPr>
          <cdr:cNvPr id="89" name="Přímá spojnice 88">
            <a:extLst xmlns:a="http://schemas.openxmlformats.org/drawingml/2006/main">
              <a:ext uri="{FF2B5EF4-FFF2-40B4-BE49-F238E27FC236}">
                <a16:creationId xmlns="" xmlns:a16="http://schemas.microsoft.com/office/drawing/2014/main" id="{9C6041E9-139B-4D23-9C76-483A84E86083}"/>
              </a:ext>
            </a:extLst>
          </cdr:cNvPr>
          <cdr:cNvCxnSpPr/>
        </cdr:nvCxnSpPr>
        <cdr:spPr>
          <a:xfrm xmlns:a="http://schemas.openxmlformats.org/drawingml/2006/main" flipV="1">
            <a:off x="839097" y="326513"/>
            <a:ext cx="1224000" cy="0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0.72196</cdr:x>
      <cdr:y>0.25011</cdr:y>
    </cdr:from>
    <cdr:to>
      <cdr:x>0.95742</cdr:x>
      <cdr:y>0.38854</cdr:y>
    </cdr:to>
    <cdr:grpSp>
      <cdr:nvGrpSpPr>
        <cdr:cNvPr id="9" name="Skupina 8">
          <a:extLst xmlns:a="http://schemas.openxmlformats.org/drawingml/2006/main">
            <a:ext uri="{FF2B5EF4-FFF2-40B4-BE49-F238E27FC236}">
              <a16:creationId xmlns="" xmlns:a16="http://schemas.microsoft.com/office/drawing/2014/main" id="{E26E35B2-8421-4F2C-9363-B1131C8F991D}"/>
            </a:ext>
          </a:extLst>
        </cdr:cNvPr>
        <cdr:cNvGrpSpPr/>
      </cdr:nvGrpSpPr>
      <cdr:grpSpPr>
        <a:xfrm xmlns:a="http://schemas.openxmlformats.org/drawingml/2006/main">
          <a:off x="7215213" y="1680436"/>
          <a:ext cx="2353169" cy="930082"/>
          <a:chOff x="7239291" y="1727198"/>
          <a:chExt cx="2357123" cy="930892"/>
        </a:xfrm>
      </cdr:grpSpPr>
      <cdr:grpSp>
        <cdr:nvGrpSpPr>
          <cdr:cNvPr id="80" name="Skupina 79">
            <a:extLst xmlns:a="http://schemas.openxmlformats.org/drawingml/2006/main">
              <a:ext uri="{FF2B5EF4-FFF2-40B4-BE49-F238E27FC236}">
                <a16:creationId xmlns="" xmlns:a16="http://schemas.microsoft.com/office/drawing/2014/main" id="{8ECE2924-074F-4228-9226-4D59ADB0658A}"/>
              </a:ext>
            </a:extLst>
          </cdr:cNvPr>
          <cdr:cNvGrpSpPr/>
        </cdr:nvGrpSpPr>
        <cdr:grpSpPr>
          <a:xfrm xmlns:a="http://schemas.openxmlformats.org/drawingml/2006/main">
            <a:off x="7362515" y="1727198"/>
            <a:ext cx="2233899" cy="930892"/>
            <a:chOff x="513462" y="0"/>
            <a:chExt cx="2231752" cy="930891"/>
          </a:xfrm>
        </cdr:grpSpPr>
        <cdr:sp macro="" textlink="'data koláče'!$D$23">
          <cdr:nvSpPr>
            <cdr:cNvPr id="81" name="TextovéPole 2">
              <a:extLst xmlns:a="http://schemas.openxmlformats.org/drawingml/2006/main">
                <a:ext uri="{FF2B5EF4-FFF2-40B4-BE49-F238E27FC236}">
                  <a16:creationId xmlns="" xmlns:a16="http://schemas.microsoft.com/office/drawing/2014/main" id="{9D1FCB71-C6C9-4D8E-8AC9-ACA3D4D2CE08}"/>
                </a:ext>
              </a:extLst>
            </cdr:cNvPr>
            <cdr:cNvSpPr txBox="1"/>
          </cdr:nvSpPr>
          <cdr:spPr>
            <a:xfrm xmlns:a="http://schemas.openxmlformats.org/drawingml/2006/main">
              <a:off x="1823719" y="0"/>
              <a:ext cx="901889" cy="552709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r"/>
              <a:fld id="{57BD003B-8FAB-42F8-AD29-597745675FEC}" type="TxLink">
                <a:rPr lang="en-US" sz="18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r"/>
                <a:t>8,6 %</a:t>
              </a:fld>
              <a:endParaRPr lang="cs-CZ" sz="1800" b="1"/>
            </a:p>
          </cdr:txBody>
        </cdr:sp>
        <cdr:sp macro="" textlink="'data koláče'!$B$23">
          <cdr:nvSpPr>
            <cdr:cNvPr id="82" name="TextovéPole 3">
              <a:extLst xmlns:a="http://schemas.openxmlformats.org/drawingml/2006/main">
                <a:ext uri="{FF2B5EF4-FFF2-40B4-BE49-F238E27FC236}">
                  <a16:creationId xmlns="" xmlns:a16="http://schemas.microsoft.com/office/drawing/2014/main" id="{93C26BC7-2723-4E82-A74B-69D3D19A1BDD}"/>
                </a:ext>
              </a:extLst>
            </cdr:cNvPr>
            <cdr:cNvSpPr txBox="1"/>
          </cdr:nvSpPr>
          <cdr:spPr>
            <a:xfrm xmlns:a="http://schemas.openxmlformats.org/drawingml/2006/main">
              <a:off x="608879" y="333831"/>
              <a:ext cx="2136335" cy="403566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r"/>
              <a:fld id="{1B9C600D-C9A6-400B-9561-121F7601054E}" type="TxLink">
                <a:rPr lang="en-US" sz="11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r"/>
                <a:t>SOCIÁLNÍ VĚCI A POLITIKA ZAMĚSTNANOSTI</a:t>
              </a:fld>
              <a:endParaRPr lang="cs-CZ" sz="1100" b="1"/>
            </a:p>
          </cdr:txBody>
        </cdr:sp>
        <cdr:sp macro="" textlink="'data koláče'!$E$23">
          <cdr:nvSpPr>
            <cdr:cNvPr id="83" name="TextovéPole 4">
              <a:extLst xmlns:a="http://schemas.openxmlformats.org/drawingml/2006/main">
                <a:ext uri="{FF2B5EF4-FFF2-40B4-BE49-F238E27FC236}">
                  <a16:creationId xmlns="" xmlns:a16="http://schemas.microsoft.com/office/drawing/2014/main" id="{4AD52346-AC9F-45FD-A4C1-5990C14460BE}"/>
                </a:ext>
              </a:extLst>
            </cdr:cNvPr>
            <cdr:cNvSpPr txBox="1"/>
          </cdr:nvSpPr>
          <cdr:spPr>
            <a:xfrm xmlns:a="http://schemas.openxmlformats.org/drawingml/2006/main">
              <a:off x="1706193" y="670845"/>
              <a:ext cx="1035054" cy="260046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r"/>
              <a:fld id="{44937868-5F18-4383-BAA4-BA511BB2B58C}" type="TxLink">
                <a:rPr lang="en-US" sz="11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r"/>
                <a:t>0,67 MLD.KČ</a:t>
              </a:fld>
              <a:endParaRPr lang="cs-CZ" sz="1100" b="1"/>
            </a:p>
          </cdr:txBody>
        </cdr:sp>
        <cdr:cxnSp macro="">
          <cdr:nvCxnSpPr>
            <cdr:cNvPr id="84" name="Přímá spojnice 83">
              <a:extLst xmlns:a="http://schemas.openxmlformats.org/drawingml/2006/main">
                <a:ext uri="{FF2B5EF4-FFF2-40B4-BE49-F238E27FC236}">
                  <a16:creationId xmlns="" xmlns:a16="http://schemas.microsoft.com/office/drawing/2014/main" id="{D5709E1E-0227-4CF3-B554-F7D57087B1E1}"/>
                </a:ext>
              </a:extLst>
            </cdr:cNvPr>
            <cdr:cNvCxnSpPr/>
          </cdr:nvCxnSpPr>
          <cdr:spPr>
            <a:xfrm xmlns:a="http://schemas.openxmlformats.org/drawingml/2006/main">
              <a:off x="513462" y="312370"/>
              <a:ext cx="1535576" cy="0"/>
            </a:xfrm>
            <a:prstGeom xmlns:a="http://schemas.openxmlformats.org/drawingml/2006/main" prst="line">
              <a:avLst/>
            </a:prstGeom>
          </cdr:spPr>
          <cdr:style>
            <a:lnRef xmlns:a="http://schemas.openxmlformats.org/drawingml/2006/main" idx="1">
              <a:schemeClr val="dk1"/>
            </a:lnRef>
            <a:fillRef xmlns:a="http://schemas.openxmlformats.org/drawingml/2006/main" idx="0">
              <a:schemeClr val="dk1"/>
            </a:fillRef>
            <a:effectRef xmlns:a="http://schemas.openxmlformats.org/drawingml/2006/main" idx="0">
              <a:schemeClr val="dk1"/>
            </a:effectRef>
            <a:fontRef xmlns:a="http://schemas.openxmlformats.org/drawingml/2006/main" idx="minor">
              <a:schemeClr val="tx1"/>
            </a:fontRef>
          </cdr:style>
        </cdr:cxnSp>
      </cdr:grpSp>
      <cdr:cxnSp macro="">
        <cdr:nvCxnSpPr>
          <cdr:cNvPr id="8" name="Přímá spojnice 7">
            <a:extLst xmlns:a="http://schemas.openxmlformats.org/drawingml/2006/main">
              <a:ext uri="{FF2B5EF4-FFF2-40B4-BE49-F238E27FC236}">
                <a16:creationId xmlns="" xmlns:a16="http://schemas.microsoft.com/office/drawing/2014/main" id="{329E3B3B-3996-4B77-9ABF-FD5779A1CB7F}"/>
              </a:ext>
            </a:extLst>
          </cdr:cNvPr>
          <cdr:cNvCxnSpPr/>
        </cdr:nvCxnSpPr>
        <cdr:spPr>
          <a:xfrm xmlns:a="http://schemas.openxmlformats.org/drawingml/2006/main" flipH="1">
            <a:off x="7239291" y="2041187"/>
            <a:ext cx="122461" cy="111527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0.71793</cdr:x>
      <cdr:y>0.71806</cdr:y>
    </cdr:from>
    <cdr:to>
      <cdr:x>0.95495</cdr:x>
      <cdr:y>0.86074</cdr:y>
    </cdr:to>
    <cdr:grpSp>
      <cdr:nvGrpSpPr>
        <cdr:cNvPr id="14" name="Skupina 13">
          <a:extLst xmlns:a="http://schemas.openxmlformats.org/drawingml/2006/main">
            <a:ext uri="{FF2B5EF4-FFF2-40B4-BE49-F238E27FC236}">
              <a16:creationId xmlns="" xmlns:a16="http://schemas.microsoft.com/office/drawing/2014/main" id="{C9F59D1E-52A7-4EAA-BFE6-DB532C8A342A}"/>
            </a:ext>
          </a:extLst>
        </cdr:cNvPr>
        <cdr:cNvGrpSpPr/>
      </cdr:nvGrpSpPr>
      <cdr:grpSpPr>
        <a:xfrm xmlns:a="http://schemas.openxmlformats.org/drawingml/2006/main">
          <a:off x="7174937" y="4824493"/>
          <a:ext cx="2368760" cy="958637"/>
          <a:chOff x="7184534" y="4798359"/>
          <a:chExt cx="2370487" cy="959467"/>
        </a:xfrm>
      </cdr:grpSpPr>
      <cdr:grpSp>
        <cdr:nvGrpSpPr>
          <cdr:cNvPr id="7" name="Skupina 6">
            <a:extLst xmlns:a="http://schemas.openxmlformats.org/drawingml/2006/main">
              <a:ext uri="{FF2B5EF4-FFF2-40B4-BE49-F238E27FC236}">
                <a16:creationId xmlns="" xmlns:a16="http://schemas.microsoft.com/office/drawing/2014/main" id="{300070AA-A1DD-4769-8284-526CF151C9DB}"/>
              </a:ext>
            </a:extLst>
          </cdr:cNvPr>
          <cdr:cNvGrpSpPr/>
        </cdr:nvGrpSpPr>
        <cdr:grpSpPr>
          <a:xfrm xmlns:a="http://schemas.openxmlformats.org/drawingml/2006/main">
            <a:off x="7305707" y="4798359"/>
            <a:ext cx="2249314" cy="959467"/>
            <a:chOff x="6962778" y="5350841"/>
            <a:chExt cx="2249354" cy="959466"/>
          </a:xfrm>
        </cdr:grpSpPr>
        <cdr:sp macro="" textlink="'data koláče'!$D$27">
          <cdr:nvSpPr>
            <cdr:cNvPr id="58" name="TextovéPole 2">
              <a:extLst xmlns:a="http://schemas.openxmlformats.org/drawingml/2006/main">
                <a:ext uri="{FF2B5EF4-FFF2-40B4-BE49-F238E27FC236}">
                  <a16:creationId xmlns="" xmlns:a16="http://schemas.microsoft.com/office/drawing/2014/main" id="{20821CA4-1C4E-4653-9EBD-5846494D1ACF}"/>
                </a:ext>
              </a:extLst>
            </cdr:cNvPr>
            <cdr:cNvSpPr txBox="1"/>
          </cdr:nvSpPr>
          <cdr:spPr>
            <a:xfrm xmlns:a="http://schemas.openxmlformats.org/drawingml/2006/main">
              <a:off x="8310243" y="5350841"/>
              <a:ext cx="901889" cy="552709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r"/>
              <a:fld id="{2531FE53-D3E9-4729-B906-E22C5B09A00B}" type="TxLink">
                <a:rPr lang="en-US" sz="18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r"/>
                <a:t>35,5 %</a:t>
              </a:fld>
              <a:endParaRPr lang="cs-CZ" sz="1800" b="1"/>
            </a:p>
          </cdr:txBody>
        </cdr:sp>
        <cdr:sp macro="" textlink="'data koláče'!$B$27">
          <cdr:nvSpPr>
            <cdr:cNvPr id="59" name="TextovéPole 3">
              <a:extLst xmlns:a="http://schemas.openxmlformats.org/drawingml/2006/main">
                <a:ext uri="{FF2B5EF4-FFF2-40B4-BE49-F238E27FC236}">
                  <a16:creationId xmlns="" xmlns:a16="http://schemas.microsoft.com/office/drawing/2014/main" id="{2984D7A0-A336-47FB-B8FF-D3475E531548}"/>
                </a:ext>
              </a:extLst>
            </cdr:cNvPr>
            <cdr:cNvSpPr txBox="1"/>
          </cdr:nvSpPr>
          <cdr:spPr>
            <a:xfrm xmlns:a="http://schemas.openxmlformats.org/drawingml/2006/main">
              <a:off x="7181850" y="5684672"/>
              <a:ext cx="2021313" cy="420886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r"/>
              <a:fld id="{7D8C213E-9A79-4435-AA21-015B9D9A74F9}" type="TxLink">
                <a:rPr lang="en-US" sz="11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r"/>
                <a:t>VŠEOBECNÁ VEŘEJNÁ SPRÁVA A SLUŽBY</a:t>
              </a:fld>
              <a:endParaRPr lang="cs-CZ" sz="1100" b="1"/>
            </a:p>
          </cdr:txBody>
        </cdr:sp>
        <cdr:sp macro="" textlink="'data koláče'!$E$27">
          <cdr:nvSpPr>
            <cdr:cNvPr id="60" name="TextovéPole 4">
              <a:extLst xmlns:a="http://schemas.openxmlformats.org/drawingml/2006/main">
                <a:ext uri="{FF2B5EF4-FFF2-40B4-BE49-F238E27FC236}">
                  <a16:creationId xmlns="" xmlns:a16="http://schemas.microsoft.com/office/drawing/2014/main" id="{CA37F01A-91C1-46DD-9506-994DB1BF3FEB}"/>
                </a:ext>
              </a:extLst>
            </cdr:cNvPr>
            <cdr:cNvSpPr txBox="1"/>
          </cdr:nvSpPr>
          <cdr:spPr>
            <a:xfrm xmlns:a="http://schemas.openxmlformats.org/drawingml/2006/main">
              <a:off x="8173663" y="6050261"/>
              <a:ext cx="1035054" cy="260046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r"/>
              <a:fld id="{66C90953-1392-4C54-8B17-3556C83BC741}" type="TxLink">
                <a:rPr lang="en-US" sz="11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r"/>
                <a:t>2,78 MLD.KČ</a:t>
              </a:fld>
              <a:endParaRPr lang="cs-CZ" sz="1100" b="1"/>
            </a:p>
          </cdr:txBody>
        </cdr:sp>
        <cdr:cxnSp macro="">
          <cdr:nvCxnSpPr>
            <cdr:cNvPr id="61" name="Přímá spojnice 60">
              <a:extLst xmlns:a="http://schemas.openxmlformats.org/drawingml/2006/main">
                <a:ext uri="{FF2B5EF4-FFF2-40B4-BE49-F238E27FC236}">
                  <a16:creationId xmlns="" xmlns:a16="http://schemas.microsoft.com/office/drawing/2014/main" id="{7E27722B-216F-48E6-8B75-16902F36339C}"/>
                </a:ext>
              </a:extLst>
            </cdr:cNvPr>
            <cdr:cNvCxnSpPr/>
          </cdr:nvCxnSpPr>
          <cdr:spPr>
            <a:xfrm xmlns:a="http://schemas.openxmlformats.org/drawingml/2006/main" flipV="1">
              <a:off x="6962778" y="5645905"/>
              <a:ext cx="1475372" cy="0"/>
            </a:xfrm>
            <a:prstGeom xmlns:a="http://schemas.openxmlformats.org/drawingml/2006/main" prst="line">
              <a:avLst/>
            </a:prstGeom>
          </cdr:spPr>
          <cdr:style>
            <a:lnRef xmlns:a="http://schemas.openxmlformats.org/drawingml/2006/main" idx="1">
              <a:schemeClr val="dk1"/>
            </a:lnRef>
            <a:fillRef xmlns:a="http://schemas.openxmlformats.org/drawingml/2006/main" idx="0">
              <a:schemeClr val="dk1"/>
            </a:fillRef>
            <a:effectRef xmlns:a="http://schemas.openxmlformats.org/drawingml/2006/main" idx="0">
              <a:schemeClr val="dk1"/>
            </a:effectRef>
            <a:fontRef xmlns:a="http://schemas.openxmlformats.org/drawingml/2006/main" idx="minor">
              <a:schemeClr val="tx1"/>
            </a:fontRef>
          </cdr:style>
        </cdr:cxnSp>
      </cdr:grpSp>
      <cdr:cxnSp macro="">
        <cdr:nvCxnSpPr>
          <cdr:cNvPr id="13" name="Přímá spojnice 12">
            <a:extLst xmlns:a="http://schemas.openxmlformats.org/drawingml/2006/main">
              <a:ext uri="{FF2B5EF4-FFF2-40B4-BE49-F238E27FC236}">
                <a16:creationId xmlns="" xmlns:a16="http://schemas.microsoft.com/office/drawing/2014/main" id="{EA32EDF3-99DD-4076-B795-DA15B5F73C1E}"/>
              </a:ext>
            </a:extLst>
          </cdr:cNvPr>
          <cdr:cNvCxnSpPr/>
        </cdr:nvCxnSpPr>
        <cdr:spPr>
          <a:xfrm xmlns:a="http://schemas.openxmlformats.org/drawingml/2006/main" flipH="1" flipV="1">
            <a:off x="7184534" y="4978961"/>
            <a:ext cx="122346" cy="111526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0.06248</cdr:x>
      <cdr:y>0.74633</cdr:y>
    </cdr:from>
    <cdr:to>
      <cdr:x>0.33811</cdr:x>
      <cdr:y>0.86967</cdr:y>
    </cdr:to>
    <cdr:grpSp>
      <cdr:nvGrpSpPr>
        <cdr:cNvPr id="15" name="Skupina 14"/>
        <cdr:cNvGrpSpPr/>
      </cdr:nvGrpSpPr>
      <cdr:grpSpPr>
        <a:xfrm xmlns:a="http://schemas.openxmlformats.org/drawingml/2006/main">
          <a:off x="624420" y="5014433"/>
          <a:ext cx="2754625" cy="828695"/>
          <a:chOff x="625153" y="5022067"/>
          <a:chExt cx="2757835" cy="829960"/>
        </a:xfrm>
      </cdr:grpSpPr>
      <cdr:grpSp>
        <cdr:nvGrpSpPr>
          <cdr:cNvPr id="43" name="Skupina 42">
            <a:extLst xmlns:a="http://schemas.openxmlformats.org/drawingml/2006/main">
              <a:ext uri="{FF2B5EF4-FFF2-40B4-BE49-F238E27FC236}">
                <a16:creationId xmlns="" xmlns:a16="http://schemas.microsoft.com/office/drawing/2014/main" id="{B1A41D56-D6E8-4829-BEA4-E69A9A16678E}"/>
              </a:ext>
            </a:extLst>
          </cdr:cNvPr>
          <cdr:cNvGrpSpPr/>
        </cdr:nvGrpSpPr>
        <cdr:grpSpPr>
          <a:xfrm xmlns:a="http://schemas.openxmlformats.org/drawingml/2006/main">
            <a:off x="625153" y="5022067"/>
            <a:ext cx="2641383" cy="829960"/>
            <a:chOff x="-1" y="0"/>
            <a:chExt cx="2640241" cy="828792"/>
          </a:xfrm>
        </cdr:grpSpPr>
        <cdr:sp macro="" textlink="'data koláče'!$D$17">
          <cdr:nvSpPr>
            <cdr:cNvPr id="44" name="TextovéPole 2">
              <a:extLst xmlns:a="http://schemas.openxmlformats.org/drawingml/2006/main">
                <a:ext uri="{FF2B5EF4-FFF2-40B4-BE49-F238E27FC236}">
                  <a16:creationId xmlns="" xmlns:a16="http://schemas.microsoft.com/office/drawing/2014/main" id="{C9197CE4-28E7-4BA6-B904-4BBB78760597}"/>
                </a:ext>
              </a:extLst>
            </cdr:cNvPr>
            <cdr:cNvSpPr txBox="1"/>
          </cdr:nvSpPr>
          <cdr:spPr>
            <a:xfrm xmlns:a="http://schemas.openxmlformats.org/drawingml/2006/main">
              <a:off x="600" y="0"/>
              <a:ext cx="823376" cy="552282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l"/>
              <a:fld id="{1ADDE737-5E17-4712-811A-CC6E275E7550}" type="TxLink">
                <a:rPr lang="en-US" sz="18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l"/>
                <a:t>0,3 %</a:t>
              </a:fld>
              <a:endParaRPr lang="cs-CZ" sz="1800" b="1"/>
            </a:p>
          </cdr:txBody>
        </cdr:sp>
        <cdr:sp macro="" textlink="'data koláče'!$B$17">
          <cdr:nvSpPr>
            <cdr:cNvPr id="45" name="TextovéPole 3">
              <a:extLst xmlns:a="http://schemas.openxmlformats.org/drawingml/2006/main">
                <a:ext uri="{FF2B5EF4-FFF2-40B4-BE49-F238E27FC236}">
                  <a16:creationId xmlns="" xmlns:a16="http://schemas.microsoft.com/office/drawing/2014/main" id="{D768006B-D5EB-4B80-9BDF-998C9E57F6D4}"/>
                </a:ext>
              </a:extLst>
            </cdr:cNvPr>
            <cdr:cNvSpPr txBox="1"/>
          </cdr:nvSpPr>
          <cdr:spPr>
            <a:xfrm xmlns:a="http://schemas.openxmlformats.org/drawingml/2006/main">
              <a:off x="-1" y="333580"/>
              <a:ext cx="2416175" cy="291896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l"/>
              <a:fld id="{DEE72E95-C462-4710-B5FA-2877D2BEDEB1}" type="TxLink">
                <a:rPr lang="en-US" sz="11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l"/>
                <a:t>ZEMĚDĚLSTVÍ A LESNÍ HOSPODÁŘSTVÍ</a:t>
              </a:fld>
              <a:endParaRPr lang="cs-CZ" sz="1100" b="1"/>
            </a:p>
          </cdr:txBody>
        </cdr:sp>
        <cdr:sp macro="" textlink="'data koláče'!$E$17">
          <cdr:nvSpPr>
            <cdr:cNvPr id="46" name="TextovéPole 4">
              <a:extLst xmlns:a="http://schemas.openxmlformats.org/drawingml/2006/main">
                <a:ext uri="{FF2B5EF4-FFF2-40B4-BE49-F238E27FC236}">
                  <a16:creationId xmlns="" xmlns:a16="http://schemas.microsoft.com/office/drawing/2014/main" id="{A2648E17-212E-4F80-A6A9-CDFD76C5A0E1}"/>
                </a:ext>
              </a:extLst>
            </cdr:cNvPr>
            <cdr:cNvSpPr txBox="1"/>
          </cdr:nvSpPr>
          <cdr:spPr>
            <a:xfrm xmlns:a="http://schemas.openxmlformats.org/drawingml/2006/main">
              <a:off x="6376" y="546605"/>
              <a:ext cx="1049723" cy="282187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l"/>
              <a:fld id="{55305560-F8D2-45FD-A273-088E4E8F8C84}" type="TxLink">
                <a:rPr lang="en-US" sz="11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l"/>
                <a:t>0,03 MLD.KČ</a:t>
              </a:fld>
              <a:endParaRPr lang="cs-CZ" sz="1100" b="1"/>
            </a:p>
          </cdr:txBody>
        </cdr:sp>
        <cdr:cxnSp macro="">
          <cdr:nvCxnSpPr>
            <cdr:cNvPr id="47" name="Přímá spojnice 46">
              <a:extLst xmlns:a="http://schemas.openxmlformats.org/drawingml/2006/main">
                <a:ext uri="{FF2B5EF4-FFF2-40B4-BE49-F238E27FC236}">
                  <a16:creationId xmlns="" xmlns:a16="http://schemas.microsoft.com/office/drawing/2014/main" id="{DB7E9204-0EDD-47CE-8B76-303E027E3AAA}"/>
                </a:ext>
              </a:extLst>
            </cdr:cNvPr>
            <cdr:cNvCxnSpPr/>
          </cdr:nvCxnSpPr>
          <cdr:spPr>
            <a:xfrm xmlns:a="http://schemas.openxmlformats.org/drawingml/2006/main">
              <a:off x="655193" y="323405"/>
              <a:ext cx="1985047" cy="0"/>
            </a:xfrm>
            <a:prstGeom xmlns:a="http://schemas.openxmlformats.org/drawingml/2006/main" prst="line">
              <a:avLst/>
            </a:prstGeom>
          </cdr:spPr>
          <cdr:style>
            <a:lnRef xmlns:a="http://schemas.openxmlformats.org/drawingml/2006/main" idx="1">
              <a:schemeClr val="dk1"/>
            </a:lnRef>
            <a:fillRef xmlns:a="http://schemas.openxmlformats.org/drawingml/2006/main" idx="0">
              <a:schemeClr val="dk1"/>
            </a:fillRef>
            <a:effectRef xmlns:a="http://schemas.openxmlformats.org/drawingml/2006/main" idx="0">
              <a:schemeClr val="dk1"/>
            </a:effectRef>
            <a:fontRef xmlns:a="http://schemas.openxmlformats.org/drawingml/2006/main" idx="minor">
              <a:schemeClr val="tx1"/>
            </a:fontRef>
          </cdr:style>
        </cdr:cxnSp>
      </cdr:grpSp>
      <cdr:cxnSp macro="">
        <cdr:nvCxnSpPr>
          <cdr:cNvPr id="10" name="Přímá spojnice 9">
            <a:extLst xmlns:a="http://schemas.openxmlformats.org/drawingml/2006/main">
              <a:ext uri="{FF2B5EF4-FFF2-40B4-BE49-F238E27FC236}">
                <a16:creationId xmlns="" xmlns:a16="http://schemas.microsoft.com/office/drawing/2014/main" id="{38ECEED3-333F-429A-9A99-865F93282350}"/>
              </a:ext>
            </a:extLst>
          </cdr:cNvPr>
          <cdr:cNvCxnSpPr/>
        </cdr:nvCxnSpPr>
        <cdr:spPr>
          <a:xfrm xmlns:a="http://schemas.openxmlformats.org/drawingml/2006/main" flipV="1">
            <a:off x="3260588" y="5236230"/>
            <a:ext cx="122400" cy="111600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0.06413</cdr:x>
      <cdr:y>0.19157</cdr:y>
    </cdr:from>
    <cdr:to>
      <cdr:x>0.34729</cdr:x>
      <cdr:y>0.31281</cdr:y>
    </cdr:to>
    <cdr:grpSp>
      <cdr:nvGrpSpPr>
        <cdr:cNvPr id="2" name="Skupina 1"/>
        <cdr:cNvGrpSpPr/>
      </cdr:nvGrpSpPr>
      <cdr:grpSpPr>
        <a:xfrm xmlns:a="http://schemas.openxmlformats.org/drawingml/2006/main">
          <a:off x="640910" y="1287118"/>
          <a:ext cx="2829880" cy="814586"/>
          <a:chOff x="641662" y="1271521"/>
          <a:chExt cx="2833199" cy="815829"/>
        </a:xfrm>
      </cdr:grpSpPr>
      <cdr:grpSp>
        <cdr:nvGrpSpPr>
          <cdr:cNvPr id="48" name="Skupina 47">
            <a:extLst xmlns:a="http://schemas.openxmlformats.org/drawingml/2006/main">
              <a:ext uri="{FF2B5EF4-FFF2-40B4-BE49-F238E27FC236}">
                <a16:creationId xmlns="" xmlns:a16="http://schemas.microsoft.com/office/drawing/2014/main" id="{0B0960D5-B6D9-4F42-BB49-288B8DAEA275}"/>
              </a:ext>
            </a:extLst>
          </cdr:cNvPr>
          <cdr:cNvGrpSpPr/>
        </cdr:nvGrpSpPr>
        <cdr:grpSpPr>
          <a:xfrm xmlns:a="http://schemas.openxmlformats.org/drawingml/2006/main">
            <a:off x="641662" y="1271521"/>
            <a:ext cx="2720235" cy="815829"/>
            <a:chOff x="0" y="0"/>
            <a:chExt cx="2719098" cy="814602"/>
          </a:xfrm>
        </cdr:grpSpPr>
        <cdr:sp macro="" textlink="'data koláče'!$D$21">
          <cdr:nvSpPr>
            <cdr:cNvPr id="49" name="TextovéPole 2">
              <a:extLst xmlns:a="http://schemas.openxmlformats.org/drawingml/2006/main">
                <a:ext uri="{FF2B5EF4-FFF2-40B4-BE49-F238E27FC236}">
                  <a16:creationId xmlns="" xmlns:a16="http://schemas.microsoft.com/office/drawing/2014/main" id="{752A3B8A-8426-479A-B133-86E7AB7A42BD}"/>
                </a:ext>
              </a:extLst>
            </cdr:cNvPr>
            <cdr:cNvSpPr txBox="1"/>
          </cdr:nvSpPr>
          <cdr:spPr>
            <a:xfrm xmlns:a="http://schemas.openxmlformats.org/drawingml/2006/main">
              <a:off x="600" y="0"/>
              <a:ext cx="823376" cy="552282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l"/>
              <a:fld id="{931E74FF-CCD3-428C-9BA6-FB4FAA52A3E1}" type="TxLink">
                <a:rPr lang="en-US" sz="18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l"/>
                <a:t>26,3 %</a:t>
              </a:fld>
              <a:endParaRPr lang="cs-CZ" sz="1800" b="1"/>
            </a:p>
          </cdr:txBody>
        </cdr:sp>
        <cdr:sp macro="" textlink="'data koláče'!$B$21">
          <cdr:nvSpPr>
            <cdr:cNvPr id="50" name="TextovéPole 3">
              <a:extLst xmlns:a="http://schemas.openxmlformats.org/drawingml/2006/main">
                <a:ext uri="{FF2B5EF4-FFF2-40B4-BE49-F238E27FC236}">
                  <a16:creationId xmlns="" xmlns:a16="http://schemas.microsoft.com/office/drawing/2014/main" id="{6F790323-B4CA-430E-AD71-00830D479B8A}"/>
                </a:ext>
              </a:extLst>
            </cdr:cNvPr>
            <cdr:cNvSpPr txBox="1"/>
          </cdr:nvSpPr>
          <cdr:spPr>
            <a:xfrm xmlns:a="http://schemas.openxmlformats.org/drawingml/2006/main">
              <a:off x="0" y="314545"/>
              <a:ext cx="2380374" cy="263321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l"/>
              <a:fld id="{DC43206D-EFC4-4AFF-8910-1522257BEB99}" type="TxLink">
                <a:rPr lang="en-US" sz="11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l"/>
                <a:t>SLUŽBY PRO OBYVATELSTVO</a:t>
              </a:fld>
              <a:endParaRPr lang="cs-CZ" sz="1100" b="1"/>
            </a:p>
          </cdr:txBody>
        </cdr:sp>
        <cdr:sp macro="" textlink="'data koláče'!$E$21">
          <cdr:nvSpPr>
            <cdr:cNvPr id="51" name="TextovéPole 4">
              <a:extLst xmlns:a="http://schemas.openxmlformats.org/drawingml/2006/main">
                <a:ext uri="{FF2B5EF4-FFF2-40B4-BE49-F238E27FC236}">
                  <a16:creationId xmlns="" xmlns:a16="http://schemas.microsoft.com/office/drawing/2014/main" id="{5C8430B9-EFDF-499F-82E2-47153ABDBEDC}"/>
                </a:ext>
              </a:extLst>
            </cdr:cNvPr>
            <cdr:cNvSpPr txBox="1"/>
          </cdr:nvSpPr>
          <cdr:spPr>
            <a:xfrm xmlns:a="http://schemas.openxmlformats.org/drawingml/2006/main">
              <a:off x="6376" y="508545"/>
              <a:ext cx="1049723" cy="306057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l"/>
              <a:fld id="{59DBF91E-967F-4B90-864E-478F81E55921}" type="TxLink">
                <a:rPr lang="en-US" sz="11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l"/>
                <a:t>2,06 MLD.KČ</a:t>
              </a:fld>
              <a:endParaRPr lang="cs-CZ" sz="1100" b="1"/>
            </a:p>
          </cdr:txBody>
        </cdr:sp>
        <cdr:cxnSp macro="">
          <cdr:nvCxnSpPr>
            <cdr:cNvPr id="56" name="Přímá spojnice 55">
              <a:extLst xmlns:a="http://schemas.openxmlformats.org/drawingml/2006/main">
                <a:ext uri="{FF2B5EF4-FFF2-40B4-BE49-F238E27FC236}">
                  <a16:creationId xmlns="" xmlns:a16="http://schemas.microsoft.com/office/drawing/2014/main" id="{567A43F6-5E02-4EEE-9333-D6E59DCC45A9}"/>
                </a:ext>
              </a:extLst>
            </cdr:cNvPr>
            <cdr:cNvCxnSpPr/>
          </cdr:nvCxnSpPr>
          <cdr:spPr>
            <a:xfrm xmlns:a="http://schemas.openxmlformats.org/drawingml/2006/main" flipV="1">
              <a:off x="740917" y="323404"/>
              <a:ext cx="1978181" cy="0"/>
            </a:xfrm>
            <a:prstGeom xmlns:a="http://schemas.openxmlformats.org/drawingml/2006/main" prst="line">
              <a:avLst/>
            </a:prstGeom>
          </cdr:spPr>
          <cdr:style>
            <a:lnRef xmlns:a="http://schemas.openxmlformats.org/drawingml/2006/main" idx="1">
              <a:schemeClr val="dk1"/>
            </a:lnRef>
            <a:fillRef xmlns:a="http://schemas.openxmlformats.org/drawingml/2006/main" idx="0">
              <a:schemeClr val="dk1"/>
            </a:fillRef>
            <a:effectRef xmlns:a="http://schemas.openxmlformats.org/drawingml/2006/main" idx="0">
              <a:schemeClr val="dk1"/>
            </a:effectRef>
            <a:fontRef xmlns:a="http://schemas.openxmlformats.org/drawingml/2006/main" idx="minor">
              <a:schemeClr val="tx1"/>
            </a:fontRef>
          </cdr:style>
        </cdr:cxnSp>
      </cdr:grpSp>
      <cdr:cxnSp macro="">
        <cdr:nvCxnSpPr>
          <cdr:cNvPr id="22" name="Přímá spojnice 21">
            <a:extLst xmlns:a="http://schemas.openxmlformats.org/drawingml/2006/main">
              <a:ext uri="{FF2B5EF4-FFF2-40B4-BE49-F238E27FC236}">
                <a16:creationId xmlns="" xmlns:a16="http://schemas.microsoft.com/office/drawing/2014/main" id="{325EFBC4-E046-4217-AF2E-C8E9E9DC83F8}"/>
              </a:ext>
            </a:extLst>
          </cdr:cNvPr>
          <cdr:cNvCxnSpPr/>
        </cdr:nvCxnSpPr>
        <cdr:spPr>
          <a:xfrm xmlns:a="http://schemas.openxmlformats.org/drawingml/2006/main">
            <a:off x="3353492" y="1591689"/>
            <a:ext cx="121369" cy="111600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10008577" cy="6733442"/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0.85143</cdr:x>
      <cdr:y>0.8102</cdr:y>
    </cdr:from>
    <cdr:to>
      <cdr:x>0.98476</cdr:x>
      <cdr:y>0.89802</cdr:y>
    </cdr:to>
    <cdr:sp macro="" textlink="">
      <cdr:nvSpPr>
        <cdr:cNvPr id="4" name="TextovéPole 3">
          <a:extLst xmlns:a="http://schemas.openxmlformats.org/drawingml/2006/main">
            <a:ext uri="{FF2B5EF4-FFF2-40B4-BE49-F238E27FC236}">
              <a16:creationId xmlns="" xmlns:a16="http://schemas.microsoft.com/office/drawing/2014/main" id="{79500821-70D7-4B83-B7CC-DE16805D149D}"/>
            </a:ext>
          </a:extLst>
        </cdr:cNvPr>
        <cdr:cNvSpPr txBox="1"/>
      </cdr:nvSpPr>
      <cdr:spPr>
        <a:xfrm xmlns:a="http://schemas.openxmlformats.org/drawingml/2006/main">
          <a:off x="8515350" y="5448300"/>
          <a:ext cx="13335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0.45429</cdr:x>
      <cdr:y>0.43201</cdr:y>
    </cdr:from>
    <cdr:to>
      <cdr:x>0.54571</cdr:x>
      <cdr:y>0.56799</cdr:y>
    </cdr:to>
    <cdr:sp macro="" textlink="">
      <cdr:nvSpPr>
        <cdr:cNvPr id="35" name="TextovéPole 34">
          <a:extLst xmlns:a="http://schemas.openxmlformats.org/drawingml/2006/main">
            <a:ext uri="{FF2B5EF4-FFF2-40B4-BE49-F238E27FC236}">
              <a16:creationId xmlns="" xmlns:a16="http://schemas.microsoft.com/office/drawing/2014/main" id="{E7C58489-147F-4638-B04D-FF6E54FD7D88}"/>
            </a:ext>
          </a:extLst>
        </cdr:cNvPr>
        <cdr:cNvSpPr txBox="1"/>
      </cdr:nvSpPr>
      <cdr:spPr>
        <a:xfrm xmlns:a="http://schemas.openxmlformats.org/drawingml/2006/main">
          <a:off x="4543425" y="29051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0.39727</cdr:x>
      <cdr:y>0.34201</cdr:y>
    </cdr:from>
    <cdr:to>
      <cdr:x>0.6284</cdr:x>
      <cdr:y>0.7154</cdr:y>
    </cdr:to>
    <cdr:grpSp>
      <cdr:nvGrpSpPr>
        <cdr:cNvPr id="2" name="Skupina 1">
          <a:extLst xmlns:a="http://schemas.openxmlformats.org/drawingml/2006/main">
            <a:ext uri="{FF2B5EF4-FFF2-40B4-BE49-F238E27FC236}">
              <a16:creationId xmlns="" xmlns:a16="http://schemas.microsoft.com/office/drawing/2014/main" id="{EB5C831A-BFA8-42A6-B038-D5162CE30928}"/>
            </a:ext>
          </a:extLst>
        </cdr:cNvPr>
        <cdr:cNvGrpSpPr/>
      </cdr:nvGrpSpPr>
      <cdr:grpSpPr>
        <a:xfrm xmlns:a="http://schemas.openxmlformats.org/drawingml/2006/main">
          <a:off x="3976107" y="2302904"/>
          <a:ext cx="2313283" cy="2514200"/>
          <a:chOff x="3973197" y="2299898"/>
          <a:chExt cx="2311589" cy="2510917"/>
        </a:xfrm>
      </cdr:grpSpPr>
      <cdr:pic>
        <cdr:nvPicPr>
          <cdr:cNvPr id="3" name="Obrázek 2">
            <a:extLst xmlns:a="http://schemas.openxmlformats.org/drawingml/2006/main">
              <a:ext uri="{FF2B5EF4-FFF2-40B4-BE49-F238E27FC236}">
                <a16:creationId xmlns="" xmlns:a16="http://schemas.microsoft.com/office/drawing/2014/main" id="{2BA5EF11-1C1E-43ED-A6DD-F4CAE8910F48}"/>
              </a:ext>
            </a:extLst>
          </cdr:cNvPr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3973197" y="2299898"/>
            <a:ext cx="2311589" cy="2510917"/>
          </a:xfrm>
          <a:prstGeom xmlns:a="http://schemas.openxmlformats.org/drawingml/2006/main" prst="rect">
            <a:avLst/>
          </a:prstGeom>
        </cdr:spPr>
      </cdr:pic>
      <cdr:sp macro="" textlink="'data koláče'!$E$47">
        <cdr:nvSpPr>
          <cdr:cNvPr id="27" name="TextovéPole 26">
            <a:extLst xmlns:a="http://schemas.openxmlformats.org/drawingml/2006/main">
              <a:ext uri="{FF2B5EF4-FFF2-40B4-BE49-F238E27FC236}">
                <a16:creationId xmlns="" xmlns:a16="http://schemas.microsoft.com/office/drawing/2014/main" id="{659AD130-E07C-4638-8F21-04AE48BD77B1}"/>
              </a:ext>
            </a:extLst>
          </cdr:cNvPr>
          <cdr:cNvSpPr txBox="1"/>
        </cdr:nvSpPr>
        <cdr:spPr>
          <a:xfrm xmlns:a="http://schemas.openxmlformats.org/drawingml/2006/main">
            <a:off x="4358345" y="3333746"/>
            <a:ext cx="1893636" cy="41908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pPr algn="ctr"/>
            <a:fld id="{BAD6B90B-0592-4C4F-9EC6-4B08DBFF7765}" type="TxLink">
              <a:rPr lang="en-US" sz="24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1,53 MLD.KČ</a:t>
            </a:fld>
            <a:endParaRPr lang="cs-CZ" sz="2400" b="1"/>
          </a:p>
        </cdr:txBody>
      </cdr:sp>
    </cdr:grpSp>
  </cdr:relSizeAnchor>
  <cdr:relSizeAnchor xmlns:cdr="http://schemas.openxmlformats.org/drawingml/2006/chartDrawing">
    <cdr:from>
      <cdr:x>0.73904</cdr:x>
      <cdr:y>0.69938</cdr:y>
    </cdr:from>
    <cdr:to>
      <cdr:x>0.94169</cdr:x>
      <cdr:y>0.80948</cdr:y>
    </cdr:to>
    <cdr:grpSp>
      <cdr:nvGrpSpPr>
        <cdr:cNvPr id="7" name="Skupina 6">
          <a:extLst xmlns:a="http://schemas.openxmlformats.org/drawingml/2006/main">
            <a:ext uri="{FF2B5EF4-FFF2-40B4-BE49-F238E27FC236}">
              <a16:creationId xmlns="" xmlns:a16="http://schemas.microsoft.com/office/drawing/2014/main" id="{300070AA-A1DD-4769-8284-526CF151C9DB}"/>
            </a:ext>
          </a:extLst>
        </cdr:cNvPr>
        <cdr:cNvGrpSpPr/>
      </cdr:nvGrpSpPr>
      <cdr:grpSpPr>
        <a:xfrm xmlns:a="http://schemas.openxmlformats.org/drawingml/2006/main">
          <a:off x="7396739" y="4709235"/>
          <a:ext cx="2028238" cy="741352"/>
          <a:chOff x="7191366" y="5350841"/>
          <a:chExt cx="2026850" cy="740389"/>
        </a:xfrm>
      </cdr:grpSpPr>
      <cdr:sp macro="" textlink="'data koláče'!$D$43">
        <cdr:nvSpPr>
          <cdr:cNvPr id="58" name="TextovéPole 2">
            <a:extLst xmlns:a="http://schemas.openxmlformats.org/drawingml/2006/main">
              <a:ext uri="{FF2B5EF4-FFF2-40B4-BE49-F238E27FC236}">
                <a16:creationId xmlns="" xmlns:a16="http://schemas.microsoft.com/office/drawing/2014/main" id="{20821CA4-1C4E-4653-9EBD-5846494D1ACF}"/>
              </a:ext>
            </a:extLst>
          </cdr:cNvPr>
          <cdr:cNvSpPr txBox="1"/>
        </cdr:nvSpPr>
        <cdr:spPr>
          <a:xfrm xmlns:a="http://schemas.openxmlformats.org/drawingml/2006/main">
            <a:off x="8310243" y="5350841"/>
            <a:ext cx="901889" cy="552709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r"/>
            <a:fld id="{F106614A-86CD-49B0-98ED-6051E0EEC5BA}" type="TxLink">
              <a:rPr lang="en-US" sz="18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52,6 %</a:t>
            </a:fld>
            <a:endParaRPr lang="cs-CZ" sz="1800" b="1"/>
          </a:p>
        </cdr:txBody>
      </cdr:sp>
      <cdr:sp macro="" textlink="'data koláče'!$B$43">
        <cdr:nvSpPr>
          <cdr:cNvPr id="59" name="TextovéPole 3">
            <a:extLst xmlns:a="http://schemas.openxmlformats.org/drawingml/2006/main">
              <a:ext uri="{FF2B5EF4-FFF2-40B4-BE49-F238E27FC236}">
                <a16:creationId xmlns="" xmlns:a16="http://schemas.microsoft.com/office/drawing/2014/main" id="{2984D7A0-A336-47FB-B8FF-D3475E531548}"/>
              </a:ext>
            </a:extLst>
          </cdr:cNvPr>
          <cdr:cNvSpPr txBox="1"/>
        </cdr:nvSpPr>
        <cdr:spPr>
          <a:xfrm xmlns:a="http://schemas.openxmlformats.org/drawingml/2006/main">
            <a:off x="7191366" y="5656096"/>
            <a:ext cx="2021313" cy="287536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r"/>
            <a:fld id="{1CE19CCA-C1FC-42E5-93FC-A8F0B80F18C8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SLUŽBY PRO OBYVATELSTVO</a:t>
            </a:fld>
            <a:endParaRPr lang="cs-CZ" sz="1100" b="1"/>
          </a:p>
        </cdr:txBody>
      </cdr:sp>
      <cdr:sp macro="" textlink="'data koláče'!$E$43">
        <cdr:nvSpPr>
          <cdr:cNvPr id="60" name="TextovéPole 4">
            <a:extLst xmlns:a="http://schemas.openxmlformats.org/drawingml/2006/main">
              <a:ext uri="{FF2B5EF4-FFF2-40B4-BE49-F238E27FC236}">
                <a16:creationId xmlns="" xmlns:a16="http://schemas.microsoft.com/office/drawing/2014/main" id="{CA37F01A-91C1-46DD-9506-994DB1BF3FEB}"/>
              </a:ext>
            </a:extLst>
          </cdr:cNvPr>
          <cdr:cNvSpPr txBox="1"/>
        </cdr:nvSpPr>
        <cdr:spPr>
          <a:xfrm xmlns:a="http://schemas.openxmlformats.org/drawingml/2006/main">
            <a:off x="8183162" y="5831184"/>
            <a:ext cx="1035054" cy="260046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r"/>
            <a:fld id="{2A2454DE-35EF-4F91-A052-36B54248265D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0,81 MLD.KČ</a:t>
            </a:fld>
            <a:endParaRPr lang="cs-CZ" sz="1100" b="1"/>
          </a:p>
        </cdr:txBody>
      </cdr:sp>
    </cdr:grpSp>
  </cdr:relSizeAnchor>
  <cdr:relSizeAnchor xmlns:cdr="http://schemas.openxmlformats.org/drawingml/2006/chartDrawing">
    <cdr:from>
      <cdr:x>0.71318</cdr:x>
      <cdr:y>0.17481</cdr:y>
    </cdr:from>
    <cdr:to>
      <cdr:x>0.94228</cdr:x>
      <cdr:y>0.31465</cdr:y>
    </cdr:to>
    <cdr:grpSp>
      <cdr:nvGrpSpPr>
        <cdr:cNvPr id="22" name="Skupina 21">
          <a:extLst xmlns:a="http://schemas.openxmlformats.org/drawingml/2006/main">
            <a:ext uri="{FF2B5EF4-FFF2-40B4-BE49-F238E27FC236}">
              <a16:creationId xmlns="" xmlns:a16="http://schemas.microsoft.com/office/drawing/2014/main" id="{AEA82BD5-D480-4606-862E-0C74246A4792}"/>
            </a:ext>
          </a:extLst>
        </cdr:cNvPr>
        <cdr:cNvGrpSpPr/>
      </cdr:nvGrpSpPr>
      <cdr:grpSpPr>
        <a:xfrm xmlns:a="http://schemas.openxmlformats.org/drawingml/2006/main">
          <a:off x="7137917" y="1177073"/>
          <a:ext cx="2292965" cy="941605"/>
          <a:chOff x="7121858" y="1222364"/>
          <a:chExt cx="2293436" cy="940416"/>
        </a:xfrm>
      </cdr:grpSpPr>
      <cdr:grpSp>
        <cdr:nvGrpSpPr>
          <cdr:cNvPr id="80" name="Skupina 79">
            <a:extLst xmlns:a="http://schemas.openxmlformats.org/drawingml/2006/main">
              <a:ext uri="{FF2B5EF4-FFF2-40B4-BE49-F238E27FC236}">
                <a16:creationId xmlns="" xmlns:a16="http://schemas.microsoft.com/office/drawing/2014/main" id="{8ECE2924-074F-4228-9226-4D59ADB0658A}"/>
              </a:ext>
            </a:extLst>
          </cdr:cNvPr>
          <cdr:cNvGrpSpPr/>
        </cdr:nvGrpSpPr>
        <cdr:grpSpPr>
          <a:xfrm xmlns:a="http://schemas.openxmlformats.org/drawingml/2006/main">
            <a:off x="7121858" y="1222364"/>
            <a:ext cx="2293436" cy="940416"/>
            <a:chOff x="454021" y="1"/>
            <a:chExt cx="2291192" cy="940415"/>
          </a:xfrm>
        </cdr:grpSpPr>
        <cdr:sp macro="" textlink="'data koláče'!$D$39">
          <cdr:nvSpPr>
            <cdr:cNvPr id="81" name="TextovéPole 2">
              <a:extLst xmlns:a="http://schemas.openxmlformats.org/drawingml/2006/main">
                <a:ext uri="{FF2B5EF4-FFF2-40B4-BE49-F238E27FC236}">
                  <a16:creationId xmlns="" xmlns:a16="http://schemas.microsoft.com/office/drawing/2014/main" id="{9D1FCB71-C6C9-4D8E-8AC9-ACA3D4D2CE08}"/>
                </a:ext>
              </a:extLst>
            </cdr:cNvPr>
            <cdr:cNvSpPr txBox="1"/>
          </cdr:nvSpPr>
          <cdr:spPr>
            <a:xfrm xmlns:a="http://schemas.openxmlformats.org/drawingml/2006/main">
              <a:off x="1823717" y="1"/>
              <a:ext cx="901889" cy="552709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r"/>
              <a:fld id="{20AC7E50-4E79-4B8A-A612-8949F3B65B15}" type="TxLink">
                <a:rPr lang="en-US" sz="18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r"/>
                <a:t>2,0 %</a:t>
              </a:fld>
              <a:endParaRPr lang="cs-CZ" sz="1800" b="1"/>
            </a:p>
          </cdr:txBody>
        </cdr:sp>
        <cdr:sp macro="" textlink="'data koláče'!$B$39">
          <cdr:nvSpPr>
            <cdr:cNvPr id="82" name="TextovéPole 3">
              <a:extLst xmlns:a="http://schemas.openxmlformats.org/drawingml/2006/main">
                <a:ext uri="{FF2B5EF4-FFF2-40B4-BE49-F238E27FC236}">
                  <a16:creationId xmlns="" xmlns:a16="http://schemas.microsoft.com/office/drawing/2014/main" id="{93C26BC7-2723-4E82-A74B-69D3D19A1BDD}"/>
                </a:ext>
              </a:extLst>
            </cdr:cNvPr>
            <cdr:cNvSpPr txBox="1"/>
          </cdr:nvSpPr>
          <cdr:spPr>
            <a:xfrm xmlns:a="http://schemas.openxmlformats.org/drawingml/2006/main">
              <a:off x="454021" y="333831"/>
              <a:ext cx="2291192" cy="415482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r"/>
              <a:fld id="{A8DB0A23-02C0-466E-B9C7-28633D5F4770}" type="TxLink">
                <a:rPr lang="en-US" sz="11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r"/>
                <a:t>BEZPEČNOST STÁTU A PRÁVNÍ OCHRANA</a:t>
              </a:fld>
              <a:endParaRPr lang="cs-CZ" sz="1100" b="1"/>
            </a:p>
          </cdr:txBody>
        </cdr:sp>
        <cdr:sp macro="" textlink="'data koláče'!$E$39">
          <cdr:nvSpPr>
            <cdr:cNvPr id="83" name="TextovéPole 4">
              <a:extLst xmlns:a="http://schemas.openxmlformats.org/drawingml/2006/main">
                <a:ext uri="{FF2B5EF4-FFF2-40B4-BE49-F238E27FC236}">
                  <a16:creationId xmlns="" xmlns:a16="http://schemas.microsoft.com/office/drawing/2014/main" id="{4AD52346-AC9F-45FD-A4C1-5990C14460BE}"/>
                </a:ext>
              </a:extLst>
            </cdr:cNvPr>
            <cdr:cNvSpPr txBox="1"/>
          </cdr:nvSpPr>
          <cdr:spPr>
            <a:xfrm xmlns:a="http://schemas.openxmlformats.org/drawingml/2006/main">
              <a:off x="1706192" y="680370"/>
              <a:ext cx="1035054" cy="260046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r"/>
              <a:fld id="{DB1B1A6C-7EAB-4BD8-A217-BE2B1E139B53}" type="TxLink">
                <a:rPr lang="en-US" sz="11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r"/>
                <a:t>0,03 MLD.KČ</a:t>
              </a:fld>
              <a:endParaRPr lang="cs-CZ" sz="1100" b="1"/>
            </a:p>
          </cdr:txBody>
        </cdr:sp>
      </cdr:grpSp>
    </cdr:grpSp>
  </cdr:relSizeAnchor>
  <cdr:relSizeAnchor xmlns:cdr="http://schemas.openxmlformats.org/drawingml/2006/chartDrawing">
    <cdr:from>
      <cdr:x>0.05838</cdr:x>
      <cdr:y>0.53483</cdr:y>
    </cdr:from>
    <cdr:to>
      <cdr:x>0.27154</cdr:x>
      <cdr:y>0.67524</cdr:y>
    </cdr:to>
    <cdr:grpSp>
      <cdr:nvGrpSpPr>
        <cdr:cNvPr id="15" name="Skupina 14"/>
        <cdr:cNvGrpSpPr/>
      </cdr:nvGrpSpPr>
      <cdr:grpSpPr>
        <a:xfrm xmlns:a="http://schemas.openxmlformats.org/drawingml/2006/main">
          <a:off x="584301" y="3601247"/>
          <a:ext cx="2133428" cy="945442"/>
          <a:chOff x="584151" y="3599094"/>
          <a:chExt cx="2132882" cy="944875"/>
        </a:xfrm>
      </cdr:grpSpPr>
      <cdr:grpSp>
        <cdr:nvGrpSpPr>
          <cdr:cNvPr id="48" name="Skupina 47">
            <a:extLst xmlns:a="http://schemas.openxmlformats.org/drawingml/2006/main">
              <a:ext uri="{FF2B5EF4-FFF2-40B4-BE49-F238E27FC236}">
                <a16:creationId xmlns="" xmlns:a16="http://schemas.microsoft.com/office/drawing/2014/main" id="{0B0960D5-B6D9-4F42-BB49-288B8DAEA275}"/>
              </a:ext>
            </a:extLst>
          </cdr:cNvPr>
          <cdr:cNvGrpSpPr/>
        </cdr:nvGrpSpPr>
        <cdr:grpSpPr>
          <a:xfrm xmlns:a="http://schemas.openxmlformats.org/drawingml/2006/main">
            <a:off x="584151" y="3599094"/>
            <a:ext cx="1960078" cy="944875"/>
            <a:chOff x="0" y="23452"/>
            <a:chExt cx="1959014" cy="943424"/>
          </a:xfrm>
        </cdr:grpSpPr>
        <cdr:sp macro="" textlink="'data koláče'!$D$45">
          <cdr:nvSpPr>
            <cdr:cNvPr id="49" name="TextovéPole 2">
              <a:extLst xmlns:a="http://schemas.openxmlformats.org/drawingml/2006/main">
                <a:ext uri="{FF2B5EF4-FFF2-40B4-BE49-F238E27FC236}">
                  <a16:creationId xmlns="" xmlns:a16="http://schemas.microsoft.com/office/drawing/2014/main" id="{752A3B8A-8426-479A-B133-86E7AB7A42BD}"/>
                </a:ext>
              </a:extLst>
            </cdr:cNvPr>
            <cdr:cNvSpPr txBox="1"/>
          </cdr:nvSpPr>
          <cdr:spPr>
            <a:xfrm xmlns:a="http://schemas.openxmlformats.org/drawingml/2006/main">
              <a:off x="600" y="23452"/>
              <a:ext cx="823376" cy="552282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l"/>
              <a:fld id="{8D9CEBA9-862B-486A-8B20-D6DD736E3B27}" type="TxLink">
                <a:rPr lang="en-US" sz="18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l"/>
                <a:t>5,3 %</a:t>
              </a:fld>
              <a:endParaRPr lang="cs-CZ" sz="1800" b="1"/>
            </a:p>
          </cdr:txBody>
        </cdr:sp>
        <cdr:sp macro="" textlink="'data koláče'!$B$45">
          <cdr:nvSpPr>
            <cdr:cNvPr id="50" name="TextovéPole 3">
              <a:extLst xmlns:a="http://schemas.openxmlformats.org/drawingml/2006/main">
                <a:ext uri="{FF2B5EF4-FFF2-40B4-BE49-F238E27FC236}">
                  <a16:creationId xmlns="" xmlns:a16="http://schemas.microsoft.com/office/drawing/2014/main" id="{6F790323-B4CA-430E-AD71-00830D479B8A}"/>
                </a:ext>
              </a:extLst>
            </cdr:cNvPr>
            <cdr:cNvSpPr txBox="1"/>
          </cdr:nvSpPr>
          <cdr:spPr>
            <a:xfrm xmlns:a="http://schemas.openxmlformats.org/drawingml/2006/main">
              <a:off x="0" y="333579"/>
              <a:ext cx="1959014" cy="385851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l"/>
              <a:fld id="{CF11CE79-5B37-4F56-A385-F256C2018269}" type="TxLink">
                <a:rPr lang="en-US" sz="11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l"/>
                <a:t>VŠEOBECNÁ VEŘEJNÁ SPRÁVA A SLUŽBY</a:t>
              </a:fld>
              <a:endParaRPr lang="cs-CZ" sz="1100" b="1"/>
            </a:p>
          </cdr:txBody>
        </cdr:sp>
        <cdr:sp macro="" textlink="'data koláče'!$E$45">
          <cdr:nvSpPr>
            <cdr:cNvPr id="51" name="TextovéPole 4">
              <a:extLst xmlns:a="http://schemas.openxmlformats.org/drawingml/2006/main">
                <a:ext uri="{FF2B5EF4-FFF2-40B4-BE49-F238E27FC236}">
                  <a16:creationId xmlns="" xmlns:a16="http://schemas.microsoft.com/office/drawing/2014/main" id="{5C8430B9-EFDF-499F-82E2-47153ABDBEDC}"/>
                </a:ext>
              </a:extLst>
            </cdr:cNvPr>
            <cdr:cNvSpPr txBox="1"/>
          </cdr:nvSpPr>
          <cdr:spPr>
            <a:xfrm xmlns:a="http://schemas.openxmlformats.org/drawingml/2006/main">
              <a:off x="6377" y="679853"/>
              <a:ext cx="1049723" cy="287023"/>
            </a:xfrm>
            <a:prstGeom xmlns:a="http://schemas.openxmlformats.org/drawingml/2006/main" prst="rect">
              <a:avLst/>
            </a:prstGeom>
            <a:ln xmlns:a="http://schemas.openxmlformats.org/drawingml/2006/main">
              <a:noFill/>
            </a:ln>
          </cdr:spPr>
          <cdr:txBody>
            <a:bodyPr xmlns:a="http://schemas.openxmlformats.org/drawingml/2006/main" wrap="square" rtlCol="0"/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l"/>
              <a:fld id="{83B9066E-4738-4CCB-897F-5096BEA78261}" type="TxLink">
                <a:rPr lang="en-US" sz="11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l"/>
                <a:t>0,08 MLD.KČ</a:t>
              </a:fld>
              <a:endParaRPr lang="cs-CZ" sz="1100" b="1"/>
            </a:p>
          </cdr:txBody>
        </cdr:sp>
      </cdr:grpSp>
      <cdr:sp macro="" textlink="">
        <cdr:nvSpPr>
          <cdr:cNvPr id="52" name="Volný tvar 51"/>
          <cdr:cNvSpPr/>
        </cdr:nvSpPr>
        <cdr:spPr>
          <a:xfrm xmlns:a="http://schemas.openxmlformats.org/drawingml/2006/main">
            <a:off x="1312989" y="3745726"/>
            <a:ext cx="1404044" cy="164130"/>
          </a:xfrm>
          <a:custGeom xmlns:a="http://schemas.openxmlformats.org/drawingml/2006/main">
            <a:avLst/>
            <a:gdLst>
              <a:gd name="connsiteX0" fmla="*/ 1647092 w 1647092"/>
              <a:gd name="connsiteY0" fmla="*/ 0 h 169984"/>
              <a:gd name="connsiteX1" fmla="*/ 1518138 w 1647092"/>
              <a:gd name="connsiteY1" fmla="*/ 169984 h 169984"/>
              <a:gd name="connsiteX2" fmla="*/ 0 w 1647092"/>
              <a:gd name="connsiteY2" fmla="*/ 164123 h 169984"/>
              <a:gd name="connsiteX0" fmla="*/ 1846385 w 1846385"/>
              <a:gd name="connsiteY0" fmla="*/ 0 h 169984"/>
              <a:gd name="connsiteX1" fmla="*/ 1717431 w 1846385"/>
              <a:gd name="connsiteY1" fmla="*/ 169984 h 169984"/>
              <a:gd name="connsiteX2" fmla="*/ 0 w 1846385"/>
              <a:gd name="connsiteY2" fmla="*/ 158261 h 169984"/>
              <a:gd name="connsiteX0" fmla="*/ 1852279 w 1852279"/>
              <a:gd name="connsiteY0" fmla="*/ 0 h 169984"/>
              <a:gd name="connsiteX1" fmla="*/ 1723325 w 1852279"/>
              <a:gd name="connsiteY1" fmla="*/ 169984 h 169984"/>
              <a:gd name="connsiteX2" fmla="*/ 0 w 1852279"/>
              <a:gd name="connsiteY2" fmla="*/ 169593 h 169984"/>
              <a:gd name="connsiteX0" fmla="*/ 1913512 w 1913512"/>
              <a:gd name="connsiteY0" fmla="*/ 0 h 153535"/>
              <a:gd name="connsiteX1" fmla="*/ 1723325 w 1913512"/>
              <a:gd name="connsiteY1" fmla="*/ 153535 h 153535"/>
              <a:gd name="connsiteX2" fmla="*/ 0 w 1913512"/>
              <a:gd name="connsiteY2" fmla="*/ 153144 h 15353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913512" h="153535">
                <a:moveTo>
                  <a:pt x="1913512" y="0"/>
                </a:moveTo>
                <a:lnTo>
                  <a:pt x="1723325" y="153535"/>
                </a:lnTo>
                <a:lnTo>
                  <a:pt x="0" y="153144"/>
                </a:lnTo>
              </a:path>
            </a:pathLst>
          </a:custGeom>
          <a:ln xmlns:a="http://schemas.openxmlformats.org/drawingml/2006/main" w="9525"/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  <cdr:relSizeAnchor xmlns:cdr="http://schemas.openxmlformats.org/drawingml/2006/chartDrawing">
    <cdr:from>
      <cdr:x>0.05795</cdr:x>
      <cdr:y>0.1494</cdr:y>
    </cdr:from>
    <cdr:to>
      <cdr:x>0.38174</cdr:x>
      <cdr:y>0.28939</cdr:y>
    </cdr:to>
    <cdr:grpSp>
      <cdr:nvGrpSpPr>
        <cdr:cNvPr id="6" name="Skupina 5"/>
        <cdr:cNvGrpSpPr/>
      </cdr:nvGrpSpPr>
      <cdr:grpSpPr>
        <a:xfrm xmlns:a="http://schemas.openxmlformats.org/drawingml/2006/main">
          <a:off x="579997" y="1005976"/>
          <a:ext cx="3240677" cy="942615"/>
          <a:chOff x="579848" y="1005374"/>
          <a:chExt cx="3239848" cy="942051"/>
        </a:xfrm>
      </cdr:grpSpPr>
      <cdr:grpSp>
        <cdr:nvGrpSpPr>
          <cdr:cNvPr id="19" name="Skupina 18">
            <a:extLst xmlns:a="http://schemas.openxmlformats.org/drawingml/2006/main">
              <a:ext uri="{FF2B5EF4-FFF2-40B4-BE49-F238E27FC236}">
                <a16:creationId xmlns="" xmlns:a16="http://schemas.microsoft.com/office/drawing/2014/main" id="{7A57DEEC-D36B-43FB-A6DF-D1EA8F9E338D}"/>
              </a:ext>
            </a:extLst>
          </cdr:cNvPr>
          <cdr:cNvGrpSpPr/>
        </cdr:nvGrpSpPr>
        <cdr:grpSpPr>
          <a:xfrm xmlns:a="http://schemas.openxmlformats.org/drawingml/2006/main">
            <a:off x="579848" y="1005374"/>
            <a:ext cx="2381632" cy="942051"/>
            <a:chOff x="591842" y="963633"/>
            <a:chExt cx="2382697" cy="941369"/>
          </a:xfrm>
        </cdr:grpSpPr>
        <cdr:grpSp>
          <cdr:nvGrpSpPr>
            <cdr:cNvPr id="5" name="Skupina 4">
              <a:extLst xmlns:a="http://schemas.openxmlformats.org/drawingml/2006/main">
                <a:ext uri="{FF2B5EF4-FFF2-40B4-BE49-F238E27FC236}">
                  <a16:creationId xmlns="" xmlns:a16="http://schemas.microsoft.com/office/drawing/2014/main" id="{7921F31D-2E01-48BA-B620-581293264415}"/>
                </a:ext>
              </a:extLst>
            </cdr:cNvPr>
            <cdr:cNvGrpSpPr/>
          </cdr:nvGrpSpPr>
          <cdr:grpSpPr>
            <a:xfrm xmlns:a="http://schemas.openxmlformats.org/drawingml/2006/main">
              <a:off x="591842" y="963633"/>
              <a:ext cx="2382697" cy="941369"/>
              <a:chOff x="495300" y="2266782"/>
              <a:chExt cx="2380374" cy="940673"/>
            </a:xfrm>
          </cdr:grpSpPr>
          <cdr:sp macro="" textlink="'data koláče'!$D$37">
            <cdr:nvSpPr>
              <cdr:cNvPr id="74" name="TextovéPole 2">
                <a:extLst xmlns:a="http://schemas.openxmlformats.org/drawingml/2006/main">
                  <a:ext uri="{FF2B5EF4-FFF2-40B4-BE49-F238E27FC236}">
                    <a16:creationId xmlns="" xmlns:a16="http://schemas.microsoft.com/office/drawing/2014/main" id="{70E727BB-502E-4946-AAF4-27B224DF5DF1}"/>
                  </a:ext>
                </a:extLst>
              </cdr:cNvPr>
              <cdr:cNvSpPr txBox="1"/>
            </cdr:nvSpPr>
            <cdr:spPr>
              <a:xfrm xmlns:a="http://schemas.openxmlformats.org/drawingml/2006/main">
                <a:off x="495900" y="2266782"/>
                <a:ext cx="823376" cy="552282"/>
              </a:xfrm>
              <a:prstGeom xmlns:a="http://schemas.openxmlformats.org/drawingml/2006/main" prst="rect">
                <a:avLst/>
              </a:prstGeom>
              <a:ln xmlns:a="http://schemas.openxmlformats.org/drawingml/2006/main">
                <a:noFill/>
              </a:ln>
            </cdr:spPr>
            <cdr:txBody>
              <a:bodyPr xmlns:a="http://schemas.openxmlformats.org/drawingml/2006/main" wrap="square" rtlCol="0"/>
              <a:lstStyle xmlns:a="http://schemas.openxmlformats.org/drawingml/2006/main"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l"/>
                <a:fld id="{2D7EA77E-8AEF-4447-B7C0-E9ADAD7C8FE1}" type="TxLink">
                  <a:rPr lang="en-US" sz="1800" b="1" i="0" u="none" strike="noStrike">
                    <a:solidFill>
                      <a:srgbClr val="000000"/>
                    </a:solidFill>
                    <a:latin typeface="Calibri"/>
                    <a:cs typeface="Calibri"/>
                  </a:rPr>
                  <a:pPr algn="l"/>
                  <a:t>31,4 %</a:t>
                </a:fld>
                <a:endParaRPr lang="cs-CZ" sz="1800" b="1"/>
              </a:p>
            </cdr:txBody>
          </cdr:sp>
          <cdr:sp macro="" textlink="'data koláče'!$B$37">
            <cdr:nvSpPr>
              <cdr:cNvPr id="75" name="TextovéPole 3">
                <a:extLst xmlns:a="http://schemas.openxmlformats.org/drawingml/2006/main">
                  <a:ext uri="{FF2B5EF4-FFF2-40B4-BE49-F238E27FC236}">
                    <a16:creationId xmlns="" xmlns:a16="http://schemas.microsoft.com/office/drawing/2014/main" id="{1F1AA158-033B-4772-8E24-CC23D96B4381}"/>
                  </a:ext>
                </a:extLst>
              </cdr:cNvPr>
              <cdr:cNvSpPr txBox="1"/>
            </cdr:nvSpPr>
            <cdr:spPr>
              <a:xfrm xmlns:a="http://schemas.openxmlformats.org/drawingml/2006/main">
                <a:off x="495300" y="2600361"/>
                <a:ext cx="2380374" cy="388180"/>
              </a:xfrm>
              <a:prstGeom xmlns:a="http://schemas.openxmlformats.org/drawingml/2006/main" prst="rect">
                <a:avLst/>
              </a:prstGeom>
              <a:ln xmlns:a="http://schemas.openxmlformats.org/drawingml/2006/main">
                <a:noFill/>
              </a:ln>
            </cdr:spPr>
            <cdr:txBody>
              <a:bodyPr xmlns:a="http://schemas.openxmlformats.org/drawingml/2006/main" wrap="square" rtlCol="0"/>
              <a:lstStyle xmlns:a="http://schemas.openxmlformats.org/drawingml/2006/main"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l"/>
                <a:fld id="{F8A9C665-4635-4BB4-8F6C-D39D3DA8498F}" type="TxLink">
                  <a:rPr lang="en-US" sz="1100" b="1" i="0" u="none" strike="noStrike">
                    <a:solidFill>
                      <a:srgbClr val="000000"/>
                    </a:solidFill>
                    <a:latin typeface="Calibri"/>
                    <a:cs typeface="Calibri"/>
                  </a:rPr>
                  <a:pPr algn="l"/>
                  <a:t>PRŮMYSLOVÁ A OSTATNÍ ODVĚTVÍ HOSPODÁŘSTVÍ</a:t>
                </a:fld>
                <a:endParaRPr lang="cs-CZ" sz="1100" b="1"/>
              </a:p>
            </cdr:txBody>
          </cdr:sp>
          <cdr:sp macro="" textlink="'data koláče'!$E$37">
            <cdr:nvSpPr>
              <cdr:cNvPr id="76" name="TextovéPole 4">
                <a:extLst xmlns:a="http://schemas.openxmlformats.org/drawingml/2006/main">
                  <a:ext uri="{FF2B5EF4-FFF2-40B4-BE49-F238E27FC236}">
                    <a16:creationId xmlns="" xmlns:a16="http://schemas.microsoft.com/office/drawing/2014/main" id="{14AE37C7-B6A7-4CA3-AF45-508A35009DD2}"/>
                  </a:ext>
                </a:extLst>
              </cdr:cNvPr>
              <cdr:cNvSpPr txBox="1"/>
            </cdr:nvSpPr>
            <cdr:spPr>
              <a:xfrm xmlns:a="http://schemas.openxmlformats.org/drawingml/2006/main">
                <a:off x="501676" y="2965788"/>
                <a:ext cx="1049723" cy="241667"/>
              </a:xfrm>
              <a:prstGeom xmlns:a="http://schemas.openxmlformats.org/drawingml/2006/main" prst="rect">
                <a:avLst/>
              </a:prstGeom>
              <a:ln xmlns:a="http://schemas.openxmlformats.org/drawingml/2006/main">
                <a:noFill/>
              </a:ln>
            </cdr:spPr>
            <cdr:txBody>
              <a:bodyPr xmlns:a="http://schemas.openxmlformats.org/drawingml/2006/main" wrap="square" rtlCol="0"/>
              <a:lstStyle xmlns:a="http://schemas.openxmlformats.org/drawingml/2006/main"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l"/>
                <a:fld id="{9A8905DE-A309-4F75-9439-760012752672}" type="TxLink">
                  <a:rPr lang="en-US" sz="1100" b="1" i="0" u="none" strike="noStrike">
                    <a:solidFill>
                      <a:srgbClr val="000000"/>
                    </a:solidFill>
                    <a:latin typeface="Calibri"/>
                    <a:cs typeface="Calibri"/>
                  </a:rPr>
                  <a:pPr algn="l"/>
                  <a:t>0,48 MLD.KČ</a:t>
                </a:fld>
                <a:endParaRPr lang="cs-CZ" sz="1100" b="1"/>
              </a:p>
            </cdr:txBody>
          </cdr:sp>
        </cdr:grpSp>
      </cdr:grpSp>
      <cdr:sp macro="" textlink="">
        <cdr:nvSpPr>
          <cdr:cNvPr id="55" name="Volný tvar 54"/>
          <cdr:cNvSpPr/>
        </cdr:nvSpPr>
        <cdr:spPr>
          <a:xfrm xmlns:a="http://schemas.openxmlformats.org/drawingml/2006/main">
            <a:off x="1304926" y="1333568"/>
            <a:ext cx="2514770" cy="123821"/>
          </a:xfrm>
          <a:custGeom xmlns:a="http://schemas.openxmlformats.org/drawingml/2006/main">
            <a:avLst/>
            <a:gdLst>
              <a:gd name="connsiteX0" fmla="*/ 2495550 w 2495550"/>
              <a:gd name="connsiteY0" fmla="*/ 123825 h 123825"/>
              <a:gd name="connsiteX1" fmla="*/ 2366963 w 2495550"/>
              <a:gd name="connsiteY1" fmla="*/ 0 h 123825"/>
              <a:gd name="connsiteX2" fmla="*/ 0 w 2495550"/>
              <a:gd name="connsiteY2" fmla="*/ 0 h 123825"/>
              <a:gd name="connsiteX3" fmla="*/ 0 w 2495550"/>
              <a:gd name="connsiteY3" fmla="*/ 0 h 123825"/>
              <a:gd name="connsiteX4" fmla="*/ 0 w 2495550"/>
              <a:gd name="connsiteY4" fmla="*/ 0 h 12382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2495550" h="123825">
                <a:moveTo>
                  <a:pt x="2495550" y="123825"/>
                </a:moveTo>
                <a:lnTo>
                  <a:pt x="2366963" y="0"/>
                </a:lnTo>
                <a:lnTo>
                  <a:pt x="0" y="0"/>
                </a:lnTo>
                <a:lnTo>
                  <a:pt x="0" y="0"/>
                </a:lnTo>
                <a:lnTo>
                  <a:pt x="0" y="0"/>
                </a:lnTo>
              </a:path>
            </a:pathLst>
          </a:custGeom>
          <a:ln xmlns:a="http://schemas.openxmlformats.org/drawingml/2006/main" w="9525"/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  <cdr:relSizeAnchor xmlns:cdr="http://schemas.openxmlformats.org/drawingml/2006/chartDrawing">
    <cdr:from>
      <cdr:x>0.05838</cdr:x>
      <cdr:y>0.37485</cdr:y>
    </cdr:from>
    <cdr:to>
      <cdr:x>0.29628</cdr:x>
      <cdr:y>0.51464</cdr:y>
    </cdr:to>
    <cdr:grpSp>
      <cdr:nvGrpSpPr>
        <cdr:cNvPr id="16" name="Skupina 15"/>
        <cdr:cNvGrpSpPr/>
      </cdr:nvGrpSpPr>
      <cdr:grpSpPr>
        <a:xfrm xmlns:a="http://schemas.openxmlformats.org/drawingml/2006/main">
          <a:off x="584301" y="2524031"/>
          <a:ext cx="2381040" cy="941268"/>
          <a:chOff x="584199" y="2522537"/>
          <a:chExt cx="2380374" cy="940672"/>
        </a:xfrm>
      </cdr:grpSpPr>
      <cdr:grpSp>
        <cdr:nvGrpSpPr>
          <cdr:cNvPr id="44" name="Skupina 43">
            <a:extLst xmlns:a="http://schemas.openxmlformats.org/drawingml/2006/main">
              <a:ext uri="{FF2B5EF4-FFF2-40B4-BE49-F238E27FC236}">
                <a16:creationId xmlns:lc="http://schemas.openxmlformats.org/drawingml/2006/lockedCanvas" xmlns:a16="http://schemas.microsoft.com/office/drawing/2014/main" xmlns="" id="{7A57DEEC-D36B-43FB-A6DF-D1EA8F9E338D}"/>
              </a:ext>
            </a:extLst>
          </cdr:cNvPr>
          <cdr:cNvGrpSpPr/>
        </cdr:nvGrpSpPr>
        <cdr:grpSpPr>
          <a:xfrm xmlns:a="http://schemas.openxmlformats.org/drawingml/2006/main">
            <a:off x="584199" y="2522537"/>
            <a:ext cx="2380374" cy="940672"/>
            <a:chOff x="0" y="0"/>
            <a:chExt cx="2381437" cy="939991"/>
          </a:xfrm>
        </cdr:grpSpPr>
        <cdr:grpSp>
          <cdr:nvGrpSpPr>
            <cdr:cNvPr id="46" name="Skupina 45">
              <a:extLst xmlns:a="http://schemas.openxmlformats.org/drawingml/2006/main">
                <a:ext uri="{FF2B5EF4-FFF2-40B4-BE49-F238E27FC236}">
                  <a16:creationId xmlns:lc="http://schemas.openxmlformats.org/drawingml/2006/lockedCanvas" xmlns:a16="http://schemas.microsoft.com/office/drawing/2014/main" xmlns="" id="{7921F31D-2E01-48BA-B620-581293264415}"/>
                </a:ext>
              </a:extLst>
            </cdr:cNvPr>
            <cdr:cNvGrpSpPr/>
          </cdr:nvGrpSpPr>
          <cdr:grpSpPr>
            <a:xfrm xmlns:a="http://schemas.openxmlformats.org/drawingml/2006/main">
              <a:off x="0" y="0"/>
              <a:ext cx="2381437" cy="939991"/>
              <a:chOff x="0" y="0"/>
              <a:chExt cx="2378052" cy="939976"/>
            </a:xfrm>
          </cdr:grpSpPr>
          <cdr:sp macro="" textlink="'data koláče'!$D$35">
            <cdr:nvSpPr>
              <cdr:cNvPr id="47" name="TextovéPole 2">
                <a:extLst xmlns:a="http://schemas.openxmlformats.org/drawingml/2006/main">
                  <a:ext uri="{FF2B5EF4-FFF2-40B4-BE49-F238E27FC236}">
                    <a16:creationId xmlns:lc="http://schemas.openxmlformats.org/drawingml/2006/lockedCanvas" xmlns:a16="http://schemas.microsoft.com/office/drawing/2014/main" xmlns="" id="{70E727BB-502E-4946-AAF4-27B224DF5DF1}"/>
                  </a:ext>
                </a:extLst>
              </cdr:cNvPr>
              <cdr:cNvSpPr txBox="1"/>
            </cdr:nvSpPr>
            <cdr:spPr>
              <a:xfrm xmlns:a="http://schemas.openxmlformats.org/drawingml/2006/main">
                <a:off x="599" y="0"/>
                <a:ext cx="822573" cy="551873"/>
              </a:xfrm>
              <a:prstGeom xmlns:a="http://schemas.openxmlformats.org/drawingml/2006/main" prst="rect">
                <a:avLst/>
              </a:prstGeom>
              <a:ln xmlns:a="http://schemas.openxmlformats.org/drawingml/2006/main">
                <a:noFill/>
              </a:ln>
            </cdr:spPr>
            <cdr:txBody>
              <a:bodyPr xmlns:a="http://schemas.openxmlformats.org/drawingml/2006/main" wrap="square" rtlCol="0"/>
              <a:lstStyle xmlns:a="http://schemas.openxmlformats.org/drawingml/2006/main"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l"/>
                <a:fld id="{58CCAB03-C691-4227-9641-791D69CB8618}" type="TxLink">
                  <a:rPr lang="en-US" sz="1800" b="1" i="0" u="none" strike="noStrike">
                    <a:solidFill>
                      <a:srgbClr val="000000"/>
                    </a:solidFill>
                    <a:latin typeface="Calibri"/>
                    <a:cs typeface="Calibri"/>
                  </a:rPr>
                  <a:pPr algn="l"/>
                  <a:t>1,1 %</a:t>
                </a:fld>
                <a:endParaRPr lang="cs-CZ" sz="1800" b="1"/>
              </a:p>
            </cdr:txBody>
          </cdr:sp>
          <cdr:sp macro="" textlink="'data koláče'!$B$35">
            <cdr:nvSpPr>
              <cdr:cNvPr id="53" name="TextovéPole 3">
                <a:extLst xmlns:a="http://schemas.openxmlformats.org/drawingml/2006/main">
                  <a:ext uri="{FF2B5EF4-FFF2-40B4-BE49-F238E27FC236}">
                    <a16:creationId xmlns:lc="http://schemas.openxmlformats.org/drawingml/2006/lockedCanvas" xmlns:a16="http://schemas.microsoft.com/office/drawing/2014/main" xmlns="" id="{1F1AA158-033B-4772-8E24-CC23D96B4381}"/>
                  </a:ext>
                </a:extLst>
              </cdr:cNvPr>
              <cdr:cNvSpPr txBox="1"/>
            </cdr:nvSpPr>
            <cdr:spPr>
              <a:xfrm xmlns:a="http://schemas.openxmlformats.org/drawingml/2006/main">
                <a:off x="0" y="333332"/>
                <a:ext cx="2378052" cy="387893"/>
              </a:xfrm>
              <a:prstGeom xmlns:a="http://schemas.openxmlformats.org/drawingml/2006/main" prst="rect">
                <a:avLst/>
              </a:prstGeom>
              <a:ln xmlns:a="http://schemas.openxmlformats.org/drawingml/2006/main">
                <a:noFill/>
              </a:ln>
            </cdr:spPr>
            <cdr:txBody>
              <a:bodyPr xmlns:a="http://schemas.openxmlformats.org/drawingml/2006/main" wrap="square" rtlCol="0"/>
              <a:lstStyle xmlns:a="http://schemas.openxmlformats.org/drawingml/2006/main"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l"/>
                <a:fld id="{E90091E8-8800-44B3-ACFB-2A07699DC318}" type="TxLink">
                  <a:rPr lang="en-US" sz="1100" b="1" i="0" u="none" strike="noStrike">
                    <a:solidFill>
                      <a:srgbClr val="000000"/>
                    </a:solidFill>
                    <a:latin typeface="Calibri"/>
                    <a:cs typeface="Calibri"/>
                  </a:rPr>
                  <a:pPr algn="l"/>
                  <a:t>ZEMĚDĚLSTVÍ A LESNÍ HOSPODÁŘSTVÍ</a:t>
                </a:fld>
                <a:endParaRPr lang="cs-CZ" sz="1100" b="1"/>
              </a:p>
            </cdr:txBody>
          </cdr:sp>
          <cdr:sp macro="" textlink="'data koláče'!$E$35">
            <cdr:nvSpPr>
              <cdr:cNvPr id="54" name="TextovéPole 4">
                <a:extLst xmlns:a="http://schemas.openxmlformats.org/drawingml/2006/main">
                  <a:ext uri="{FF2B5EF4-FFF2-40B4-BE49-F238E27FC236}">
                    <a16:creationId xmlns:lc="http://schemas.openxmlformats.org/drawingml/2006/lockedCanvas" xmlns:a16="http://schemas.microsoft.com/office/drawing/2014/main" xmlns="" id="{14AE37C7-B6A7-4CA3-AF45-508A35009DD2}"/>
                  </a:ext>
                </a:extLst>
              </cdr:cNvPr>
              <cdr:cNvSpPr txBox="1"/>
            </cdr:nvSpPr>
            <cdr:spPr>
              <a:xfrm xmlns:a="http://schemas.openxmlformats.org/drawingml/2006/main">
                <a:off x="6370" y="698488"/>
                <a:ext cx="1048699" cy="241488"/>
              </a:xfrm>
              <a:prstGeom xmlns:a="http://schemas.openxmlformats.org/drawingml/2006/main" prst="rect">
                <a:avLst/>
              </a:prstGeom>
              <a:ln xmlns:a="http://schemas.openxmlformats.org/drawingml/2006/main">
                <a:noFill/>
              </a:ln>
            </cdr:spPr>
            <cdr:txBody>
              <a:bodyPr xmlns:a="http://schemas.openxmlformats.org/drawingml/2006/main" wrap="square" rtlCol="0"/>
              <a:lstStyle xmlns:a="http://schemas.openxmlformats.org/drawingml/2006/main"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 xmlns:a="http://schemas.openxmlformats.org/drawingml/2006/main">
                <a:pPr algn="l"/>
                <a:fld id="{22F7DCD6-5EAD-4EC3-AC9E-3EC65B01D7FB}" type="TxLink">
                  <a:rPr lang="en-US" sz="1100" b="1" i="0" u="none" strike="noStrike">
                    <a:solidFill>
                      <a:srgbClr val="000000"/>
                    </a:solidFill>
                    <a:latin typeface="Calibri"/>
                    <a:cs typeface="Calibri"/>
                  </a:rPr>
                  <a:pPr algn="l"/>
                  <a:t>0,01 MLD.KČ</a:t>
                </a:fld>
                <a:endParaRPr lang="cs-CZ" sz="1100" b="1"/>
              </a:p>
            </cdr:txBody>
          </cdr:sp>
        </cdr:grpSp>
      </cdr:grpSp>
      <cdr:sp macro="" textlink="">
        <cdr:nvSpPr>
          <cdr:cNvPr id="14" name="Volný tvar 13"/>
          <cdr:cNvSpPr/>
        </cdr:nvSpPr>
        <cdr:spPr>
          <a:xfrm xmlns:a="http://schemas.openxmlformats.org/drawingml/2006/main">
            <a:off x="1309689" y="2847975"/>
            <a:ext cx="1452562" cy="166688"/>
          </a:xfrm>
          <a:custGeom xmlns:a="http://schemas.openxmlformats.org/drawingml/2006/main">
            <a:avLst/>
            <a:gdLst>
              <a:gd name="connsiteX0" fmla="*/ 1419225 w 1419225"/>
              <a:gd name="connsiteY0" fmla="*/ 166688 h 166688"/>
              <a:gd name="connsiteX1" fmla="*/ 1271588 w 1419225"/>
              <a:gd name="connsiteY1" fmla="*/ 0 h 166688"/>
              <a:gd name="connsiteX2" fmla="*/ 0 w 1419225"/>
              <a:gd name="connsiteY2" fmla="*/ 4763 h 16668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419225" h="166688">
                <a:moveTo>
                  <a:pt x="1419225" y="166688"/>
                </a:moveTo>
                <a:lnTo>
                  <a:pt x="1271588" y="0"/>
                </a:lnTo>
                <a:lnTo>
                  <a:pt x="0" y="4763"/>
                </a:lnTo>
              </a:path>
            </a:pathLst>
          </a:cu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cs-CZ"/>
          </a:p>
        </cdr:txBody>
      </cdr:sp>
    </cdr:grpSp>
  </cdr:relSizeAnchor>
  <cdr:relSizeAnchor xmlns:cdr="http://schemas.openxmlformats.org/drawingml/2006/chartDrawing">
    <cdr:from>
      <cdr:x>0.71205</cdr:x>
      <cdr:y>0.32025</cdr:y>
    </cdr:from>
    <cdr:to>
      <cdr:x>0.94104</cdr:x>
      <cdr:y>0.46</cdr:y>
    </cdr:to>
    <cdr:grpSp>
      <cdr:nvGrpSpPr>
        <cdr:cNvPr id="62" name="Skupina 61">
          <a:extLst xmlns:a="http://schemas.openxmlformats.org/drawingml/2006/main">
            <a:ext uri="{FF2B5EF4-FFF2-40B4-BE49-F238E27FC236}">
              <a16:creationId xmlns:lc="http://schemas.openxmlformats.org/drawingml/2006/lockedCanvas" xmlns:a16="http://schemas.microsoft.com/office/drawing/2014/main" xmlns="" id="{8ECE2924-074F-4228-9226-4D59ADB0658A}"/>
            </a:ext>
          </a:extLst>
        </cdr:cNvPr>
        <cdr:cNvGrpSpPr/>
      </cdr:nvGrpSpPr>
      <cdr:grpSpPr>
        <a:xfrm xmlns:a="http://schemas.openxmlformats.org/drawingml/2006/main">
          <a:off x="7126607" y="2156385"/>
          <a:ext cx="2291864" cy="940998"/>
          <a:chOff x="385755" y="0"/>
          <a:chExt cx="2288952" cy="940414"/>
        </a:xfrm>
      </cdr:grpSpPr>
      <cdr:sp macro="" textlink="'data koláče'!$D$41">
        <cdr:nvSpPr>
          <cdr:cNvPr id="64" name="TextovéPole 2">
            <a:extLst xmlns:a="http://schemas.openxmlformats.org/drawingml/2006/main">
              <a:ext uri="{FF2B5EF4-FFF2-40B4-BE49-F238E27FC236}">
                <a16:creationId xmlns:lc="http://schemas.openxmlformats.org/drawingml/2006/lockedCanvas" xmlns:a16="http://schemas.microsoft.com/office/drawing/2014/main" xmlns="" id="{9D1FCB71-C6C9-4D8E-8AC9-ACA3D4D2CE08}"/>
              </a:ext>
            </a:extLst>
          </cdr:cNvPr>
          <cdr:cNvSpPr txBox="1"/>
        </cdr:nvSpPr>
        <cdr:spPr>
          <a:xfrm xmlns:a="http://schemas.openxmlformats.org/drawingml/2006/main">
            <a:off x="1754112" y="0"/>
            <a:ext cx="901007" cy="552708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r"/>
            <a:fld id="{2C452293-2FE2-48A0-9263-C900CDD63403}" type="TxLink">
              <a:rPr lang="en-US" sz="18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7,6 %</a:t>
            </a:fld>
            <a:endParaRPr lang="cs-CZ" sz="1800" b="1"/>
          </a:p>
        </cdr:txBody>
      </cdr:sp>
      <cdr:sp macro="" textlink="'data koláče'!$B$41">
        <cdr:nvSpPr>
          <cdr:cNvPr id="65" name="TextovéPole 3">
            <a:extLst xmlns:a="http://schemas.openxmlformats.org/drawingml/2006/main">
              <a:ext uri="{FF2B5EF4-FFF2-40B4-BE49-F238E27FC236}">
                <a16:creationId xmlns:lc="http://schemas.openxmlformats.org/drawingml/2006/lockedCanvas" xmlns:a16="http://schemas.microsoft.com/office/drawing/2014/main" xmlns="" id="{93C26BC7-2723-4E82-A74B-69D3D19A1BDD}"/>
              </a:ext>
            </a:extLst>
          </cdr:cNvPr>
          <cdr:cNvSpPr txBox="1"/>
        </cdr:nvSpPr>
        <cdr:spPr>
          <a:xfrm xmlns:a="http://schemas.openxmlformats.org/drawingml/2006/main">
            <a:off x="385755" y="333830"/>
            <a:ext cx="2288952" cy="415482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r"/>
            <a:fld id="{FCDD032F-38B9-4516-A894-DD5530414E03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SOCIÁLNÍ VĚCI A POLITIKA ZAMĚSTNANOSTI</a:t>
            </a:fld>
            <a:endParaRPr lang="cs-CZ" sz="1100" b="1"/>
          </a:p>
        </cdr:txBody>
      </cdr:sp>
      <cdr:sp macro="" textlink="'data koláče'!$E$41">
        <cdr:nvSpPr>
          <cdr:cNvPr id="66" name="TextovéPole 4">
            <a:extLst xmlns:a="http://schemas.openxmlformats.org/drawingml/2006/main">
              <a:ext uri="{FF2B5EF4-FFF2-40B4-BE49-F238E27FC236}">
                <a16:creationId xmlns:lc="http://schemas.openxmlformats.org/drawingml/2006/lockedCanvas" xmlns:a16="http://schemas.microsoft.com/office/drawing/2014/main" xmlns="" id="{4AD52346-AC9F-45FD-A4C1-5990C14460BE}"/>
              </a:ext>
            </a:extLst>
          </cdr:cNvPr>
          <cdr:cNvSpPr txBox="1"/>
        </cdr:nvSpPr>
        <cdr:spPr>
          <a:xfrm xmlns:a="http://schemas.openxmlformats.org/drawingml/2006/main">
            <a:off x="1636702" y="680368"/>
            <a:ext cx="1034042" cy="260046"/>
          </a:xfrm>
          <a:prstGeom xmlns:a="http://schemas.openxmlformats.org/drawingml/2006/main" prst="rect">
            <a:avLst/>
          </a:prstGeom>
          <a:ln xmlns:a="http://schemas.openxmlformats.org/drawingml/2006/main">
            <a:noFill/>
          </a:ln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r"/>
            <a:fld id="{83330A5B-8DB5-44AA-A3C7-046CB57C71B1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r"/>
              <a:t>0,12 MLD.KČ</a:t>
            </a:fld>
            <a:endParaRPr lang="cs-CZ" sz="1100" b="1"/>
          </a:p>
        </cdr:txBody>
      </cdr:sp>
      <cdr:cxnSp macro="">
        <cdr:nvCxnSpPr>
          <cdr:cNvPr id="67" name="Přímá spojnice 66">
            <a:extLst xmlns:a="http://schemas.openxmlformats.org/drawingml/2006/main">
              <a:ext uri="{FF2B5EF4-FFF2-40B4-BE49-F238E27FC236}">
                <a16:creationId xmlns:lc="http://schemas.openxmlformats.org/drawingml/2006/lockedCanvas" xmlns:a16="http://schemas.microsoft.com/office/drawing/2014/main" xmlns="" id="{D5709E1E-0227-4CF3-B554-F7D57087B1E1}"/>
              </a:ext>
            </a:extLst>
          </cdr:cNvPr>
          <cdr:cNvCxnSpPr/>
        </cdr:nvCxnSpPr>
        <cdr:spPr>
          <a:xfrm xmlns:a="http://schemas.openxmlformats.org/drawingml/2006/main" flipV="1">
            <a:off x="693936" y="323639"/>
            <a:ext cx="1294732" cy="446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0.67953</cdr:x>
      <cdr:y>0.22298</cdr:y>
    </cdr:from>
    <cdr:to>
      <cdr:x>0.86992</cdr:x>
      <cdr:y>0.24389</cdr:y>
    </cdr:to>
    <cdr:sp macro="" textlink="">
      <cdr:nvSpPr>
        <cdr:cNvPr id="17" name="Volný tvar 16"/>
        <cdr:cNvSpPr/>
      </cdr:nvSpPr>
      <cdr:spPr>
        <a:xfrm xmlns:a="http://schemas.openxmlformats.org/drawingml/2006/main">
          <a:off x="6799385" y="1500554"/>
          <a:ext cx="1905000" cy="140677"/>
        </a:xfrm>
        <a:custGeom xmlns:a="http://schemas.openxmlformats.org/drawingml/2006/main">
          <a:avLst/>
          <a:gdLst>
            <a:gd name="connsiteX0" fmla="*/ 0 w 1905000"/>
            <a:gd name="connsiteY0" fmla="*/ 140677 h 140677"/>
            <a:gd name="connsiteX1" fmla="*/ 134815 w 1905000"/>
            <a:gd name="connsiteY1" fmla="*/ 0 h 140677"/>
            <a:gd name="connsiteX2" fmla="*/ 1905000 w 1905000"/>
            <a:gd name="connsiteY2" fmla="*/ 5862 h 14067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905000" h="140677">
              <a:moveTo>
                <a:pt x="0" y="140677"/>
              </a:moveTo>
              <a:lnTo>
                <a:pt x="134815" y="0"/>
              </a:lnTo>
              <a:lnTo>
                <a:pt x="1905000" y="5862"/>
              </a:lnTo>
            </a:path>
          </a:pathLst>
        </a:custGeom>
        <a:ln xmlns:a="http://schemas.openxmlformats.org/drawingml/2006/main" w="9525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0.72639</cdr:x>
      <cdr:y>0.7247</cdr:y>
    </cdr:from>
    <cdr:to>
      <cdr:x>0.86311</cdr:x>
      <cdr:y>0.7456</cdr:y>
    </cdr:to>
    <cdr:sp macro="" textlink="">
      <cdr:nvSpPr>
        <cdr:cNvPr id="18" name="Volný tvar 17"/>
        <cdr:cNvSpPr/>
      </cdr:nvSpPr>
      <cdr:spPr>
        <a:xfrm xmlns:a="http://schemas.openxmlformats.org/drawingml/2006/main">
          <a:off x="7268001" y="4868044"/>
          <a:ext cx="1368000" cy="140392"/>
        </a:xfrm>
        <a:custGeom xmlns:a="http://schemas.openxmlformats.org/drawingml/2006/main">
          <a:avLst/>
          <a:gdLst>
            <a:gd name="connsiteX0" fmla="*/ 0 w 1430216"/>
            <a:gd name="connsiteY0" fmla="*/ 0 h 140677"/>
            <a:gd name="connsiteX1" fmla="*/ 146539 w 1430216"/>
            <a:gd name="connsiteY1" fmla="*/ 140677 h 140677"/>
            <a:gd name="connsiteX2" fmla="*/ 1430216 w 1430216"/>
            <a:gd name="connsiteY2" fmla="*/ 140677 h 14067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430216" h="140677">
              <a:moveTo>
                <a:pt x="0" y="0"/>
              </a:moveTo>
              <a:lnTo>
                <a:pt x="146539" y="140677"/>
              </a:lnTo>
              <a:lnTo>
                <a:pt x="1430216" y="140677"/>
              </a:lnTo>
            </a:path>
          </a:pathLst>
        </a:cu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858375" cy="6734175"/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J68"/>
  <sheetViews>
    <sheetView topLeftCell="A43" zoomScale="115" zoomScaleNormal="115" workbookViewId="0">
      <selection activeCell="B37" sqref="B37"/>
    </sheetView>
  </sheetViews>
  <sheetFormatPr defaultRowHeight="15" x14ac:dyDescent="0.25"/>
  <cols>
    <col min="1" max="1" width="16.7109375" style="1" bestFit="1" customWidth="1"/>
    <col min="2" max="2" width="46.85546875" bestFit="1" customWidth="1"/>
    <col min="3" max="3" width="19.42578125" customWidth="1"/>
    <col min="5" max="5" width="20.140625" customWidth="1"/>
    <col min="6" max="6" width="16" customWidth="1"/>
    <col min="7" max="7" width="13.42578125" customWidth="1"/>
  </cols>
  <sheetData>
    <row r="1" spans="1:7" ht="14.45" x14ac:dyDescent="0.3">
      <c r="A1" s="89"/>
      <c r="B1" s="90"/>
      <c r="C1" s="90"/>
      <c r="D1" s="90"/>
      <c r="E1" s="90"/>
    </row>
    <row r="2" spans="1:7" ht="14.45" x14ac:dyDescent="0.3">
      <c r="A2" s="89"/>
      <c r="B2" s="90"/>
      <c r="C2" s="90"/>
      <c r="D2" s="90"/>
      <c r="E2" s="90"/>
    </row>
    <row r="3" spans="1:7" s="3" customFormat="1" ht="18" customHeight="1" x14ac:dyDescent="0.25">
      <c r="A3" s="91">
        <v>8360359381.5200005</v>
      </c>
      <c r="B3" s="92" t="s">
        <v>4</v>
      </c>
      <c r="C3" s="93">
        <f>A3</f>
        <v>8360359381.5200005</v>
      </c>
      <c r="D3" s="185">
        <f>ROUND($C3/$C$11,3)</f>
        <v>0.81299999999999994</v>
      </c>
      <c r="E3" s="94">
        <f t="shared" ref="E3" si="0">ROUND(A3,-7)</f>
        <v>8360000000</v>
      </c>
      <c r="G3" s="99">
        <f>C3/C11</f>
        <v>0.81319199060814507</v>
      </c>
    </row>
    <row r="4" spans="1:7" s="3" customFormat="1" ht="18" customHeight="1" x14ac:dyDescent="0.3">
      <c r="A4" s="91"/>
      <c r="B4" s="92"/>
      <c r="C4" s="93">
        <v>0</v>
      </c>
      <c r="D4" s="185"/>
      <c r="E4" s="94"/>
      <c r="G4" s="99"/>
    </row>
    <row r="5" spans="1:7" s="3" customFormat="1" ht="18" customHeight="1" x14ac:dyDescent="0.25">
      <c r="A5" s="91">
        <v>336102028.77999997</v>
      </c>
      <c r="B5" s="92" t="s">
        <v>5</v>
      </c>
      <c r="C5" s="93">
        <f>A5</f>
        <v>336102028.77999997</v>
      </c>
      <c r="D5" s="185">
        <f>ROUND($C5/$C$11,3)</f>
        <v>3.3000000000000002E-2</v>
      </c>
      <c r="E5" s="94">
        <f>ROUNDDOWN(A5,-7)</f>
        <v>330000000</v>
      </c>
      <c r="G5" s="99">
        <f>C5/C11</f>
        <v>3.269183361126668E-2</v>
      </c>
    </row>
    <row r="6" spans="1:7" s="3" customFormat="1" ht="18" customHeight="1" x14ac:dyDescent="0.3">
      <c r="A6" s="91"/>
      <c r="B6" s="92"/>
      <c r="C6" s="93">
        <v>0</v>
      </c>
      <c r="D6" s="185"/>
      <c r="E6" s="94"/>
      <c r="G6" s="99"/>
    </row>
    <row r="7" spans="1:7" s="3" customFormat="1" ht="18" customHeight="1" x14ac:dyDescent="0.25">
      <c r="A7" s="91">
        <f>13624513347.5-12806578758.19</f>
        <v>817934589.30999947</v>
      </c>
      <c r="B7" s="92" t="s">
        <v>6</v>
      </c>
      <c r="C7" s="93">
        <f>A7</f>
        <v>817934589.30999947</v>
      </c>
      <c r="D7" s="185">
        <f>ROUND($C7/$C$11,3)</f>
        <v>0.08</v>
      </c>
      <c r="E7" s="94">
        <f t="shared" ref="E7:E9" si="1">ROUND(A7,-7)</f>
        <v>820000000</v>
      </c>
      <c r="G7" s="99">
        <f>C7/C11</f>
        <v>7.9558524522103158E-2</v>
      </c>
    </row>
    <row r="8" spans="1:7" s="3" customFormat="1" ht="18" customHeight="1" x14ac:dyDescent="0.3">
      <c r="A8" s="91"/>
      <c r="B8" s="92"/>
      <c r="C8" s="93">
        <v>0</v>
      </c>
      <c r="D8" s="185"/>
      <c r="E8" s="94"/>
      <c r="G8" s="99"/>
    </row>
    <row r="9" spans="1:7" s="3" customFormat="1" ht="18" customHeight="1" x14ac:dyDescent="0.25">
      <c r="A9" s="91">
        <v>766521026.23000002</v>
      </c>
      <c r="B9" s="92" t="s">
        <v>7</v>
      </c>
      <c r="C9" s="93">
        <f>A9</f>
        <v>766521026.23000002</v>
      </c>
      <c r="D9" s="185">
        <f>ROUNDDOWN($C9/$C$11,3)</f>
        <v>7.3999999999999996E-2</v>
      </c>
      <c r="E9" s="94">
        <f t="shared" si="1"/>
        <v>770000000</v>
      </c>
      <c r="G9" s="99">
        <f>C9/C11</f>
        <v>7.4557651258485041E-2</v>
      </c>
    </row>
    <row r="10" spans="1:7" s="3" customFormat="1" ht="18" customHeight="1" x14ac:dyDescent="0.3">
      <c r="A10" s="91"/>
      <c r="B10" s="92"/>
      <c r="C10" s="93">
        <v>0</v>
      </c>
      <c r="D10" s="185"/>
      <c r="E10" s="94"/>
      <c r="G10" s="99"/>
    </row>
    <row r="11" spans="1:7" s="3" customFormat="1" ht="18" customHeight="1" x14ac:dyDescent="0.25">
      <c r="A11" s="95">
        <f>SUM(A3:A10)</f>
        <v>10280917025.84</v>
      </c>
      <c r="B11" s="96" t="s">
        <v>8</v>
      </c>
      <c r="C11" s="97">
        <f>SUM(C3:C10)</f>
        <v>10280917025.84</v>
      </c>
      <c r="D11" s="186">
        <f>SUM(D3:D10)</f>
        <v>0.99999999999999989</v>
      </c>
      <c r="E11" s="34">
        <f>SUM(E3:E10)</f>
        <v>10280000000</v>
      </c>
      <c r="G11" s="99"/>
    </row>
    <row r="12" spans="1:7" ht="14.45" x14ac:dyDescent="0.3">
      <c r="A12" s="89"/>
      <c r="B12" s="90"/>
      <c r="C12" s="90"/>
      <c r="D12" s="90"/>
      <c r="E12" s="34">
        <f>ROUND(A11,-7)</f>
        <v>10280000000</v>
      </c>
      <c r="G12" s="100"/>
    </row>
    <row r="13" spans="1:7" ht="14.45" x14ac:dyDescent="0.3">
      <c r="A13" s="89"/>
      <c r="B13" s="90"/>
      <c r="C13" s="90"/>
      <c r="D13" s="90"/>
      <c r="E13" s="90"/>
      <c r="G13" s="100"/>
    </row>
    <row r="14" spans="1:7" ht="14.45" x14ac:dyDescent="0.3">
      <c r="A14" s="89"/>
      <c r="B14" s="90"/>
      <c r="C14" s="90"/>
      <c r="D14" s="90"/>
      <c r="E14" s="90"/>
      <c r="G14" s="100"/>
    </row>
    <row r="15" spans="1:7" ht="14.45" x14ac:dyDescent="0.3">
      <c r="A15" s="89"/>
      <c r="B15" s="90"/>
      <c r="C15" s="90"/>
      <c r="D15" s="90"/>
      <c r="E15" s="90"/>
      <c r="G15" s="100"/>
    </row>
    <row r="16" spans="1:7" ht="14.45" x14ac:dyDescent="0.3">
      <c r="A16" s="89"/>
      <c r="B16" s="90"/>
      <c r="C16" s="90"/>
      <c r="D16" s="90"/>
      <c r="E16" s="90"/>
      <c r="G16" s="100"/>
    </row>
    <row r="17" spans="1:7" x14ac:dyDescent="0.25">
      <c r="A17" s="91">
        <v>25624809.52</v>
      </c>
      <c r="B17" s="92" t="s">
        <v>9</v>
      </c>
      <c r="C17" s="93">
        <f>A17</f>
        <v>25624809.52</v>
      </c>
      <c r="D17" s="185">
        <f>ROUND($C17/$C$29,3)</f>
        <v>3.0000000000000001E-3</v>
      </c>
      <c r="E17" s="94">
        <f>ROUND(A17,-7)</f>
        <v>30000000</v>
      </c>
      <c r="G17" s="100">
        <f>C17/C29</f>
        <v>3.2704605938987732E-3</v>
      </c>
    </row>
    <row r="18" spans="1:7" ht="14.45" x14ac:dyDescent="0.3">
      <c r="A18" s="91"/>
      <c r="B18" s="92"/>
      <c r="C18" s="93">
        <v>0</v>
      </c>
      <c r="D18" s="185"/>
      <c r="E18" s="94"/>
      <c r="G18" s="100"/>
    </row>
    <row r="19" spans="1:7" x14ac:dyDescent="0.25">
      <c r="A19" s="91">
        <v>1794351003.27</v>
      </c>
      <c r="B19" s="92" t="s">
        <v>10</v>
      </c>
      <c r="C19" s="93">
        <f>A19</f>
        <v>1794351003.27</v>
      </c>
      <c r="D19" s="185">
        <f>ROUND($C19/$C$29,3)</f>
        <v>0.22900000000000001</v>
      </c>
      <c r="E19" s="94">
        <f>ROUNDUP(A19,-7)</f>
        <v>1800000000</v>
      </c>
      <c r="G19" s="100">
        <f>C19/C29</f>
        <v>0.22901064857621872</v>
      </c>
    </row>
    <row r="20" spans="1:7" ht="14.45" x14ac:dyDescent="0.3">
      <c r="A20" s="91"/>
      <c r="B20" s="92"/>
      <c r="C20" s="93">
        <v>0</v>
      </c>
      <c r="D20" s="185"/>
      <c r="E20" s="94"/>
      <c r="G20" s="100"/>
    </row>
    <row r="21" spans="1:7" x14ac:dyDescent="0.25">
      <c r="A21" s="91">
        <v>2064231570.6800001</v>
      </c>
      <c r="B21" s="92" t="s">
        <v>11</v>
      </c>
      <c r="C21" s="93">
        <f>A21</f>
        <v>2064231570.6800001</v>
      </c>
      <c r="D21" s="185">
        <f>ROUND($C21/$C$29,3)</f>
        <v>0.26300000000000001</v>
      </c>
      <c r="E21" s="94">
        <f>ROUND(A21,-7)</f>
        <v>2060000000</v>
      </c>
      <c r="G21" s="100">
        <f>C21/C29</f>
        <v>0.26345514893765776</v>
      </c>
    </row>
    <row r="22" spans="1:7" ht="14.45" x14ac:dyDescent="0.3">
      <c r="A22" s="91"/>
      <c r="B22" s="92"/>
      <c r="C22" s="93">
        <v>0</v>
      </c>
      <c r="D22" s="185"/>
      <c r="E22" s="94"/>
      <c r="G22" s="100"/>
    </row>
    <row r="23" spans="1:7" x14ac:dyDescent="0.25">
      <c r="A23" s="91">
        <v>669741823.76999998</v>
      </c>
      <c r="B23" s="92" t="s">
        <v>12</v>
      </c>
      <c r="C23" s="93">
        <f>A23</f>
        <v>669741823.76999998</v>
      </c>
      <c r="D23" s="185">
        <f>ROUNDUP($C23/$C$29,3)</f>
        <v>8.6000000000000007E-2</v>
      </c>
      <c r="E23" s="94">
        <f t="shared" ref="E23:E27" si="2">ROUND(A23,-7)</f>
        <v>670000000</v>
      </c>
      <c r="G23" s="100">
        <f>C23/C29</f>
        <v>8.5478264375628485E-2</v>
      </c>
    </row>
    <row r="24" spans="1:7" ht="14.45" x14ac:dyDescent="0.3">
      <c r="A24" s="91"/>
      <c r="B24" s="92"/>
      <c r="C24" s="93">
        <v>0</v>
      </c>
      <c r="D24" s="185"/>
      <c r="E24" s="94"/>
      <c r="G24" s="100"/>
    </row>
    <row r="25" spans="1:7" x14ac:dyDescent="0.25">
      <c r="A25" s="91">
        <v>503647362.19</v>
      </c>
      <c r="B25" s="92" t="s">
        <v>13</v>
      </c>
      <c r="C25" s="93">
        <f>A25</f>
        <v>503647362.19</v>
      </c>
      <c r="D25" s="185">
        <f>ROUND($C25/$C$29,3)</f>
        <v>6.4000000000000001E-2</v>
      </c>
      <c r="E25" s="94">
        <f t="shared" si="2"/>
        <v>500000000</v>
      </c>
      <c r="G25" s="100">
        <f>C25/C29</f>
        <v>6.4279847621027619E-2</v>
      </c>
    </row>
    <row r="26" spans="1:7" ht="14.45" x14ac:dyDescent="0.3">
      <c r="A26" s="91"/>
      <c r="B26" s="92"/>
      <c r="C26" s="93">
        <v>0</v>
      </c>
      <c r="D26" s="185"/>
      <c r="E26" s="94"/>
      <c r="G26" s="100"/>
    </row>
    <row r="27" spans="1:7" x14ac:dyDescent="0.25">
      <c r="A27" s="91">
        <f>15584211748.72-12806578758.19</f>
        <v>2777632990.5299988</v>
      </c>
      <c r="B27" s="92" t="s">
        <v>14</v>
      </c>
      <c r="C27" s="93">
        <f>A27</f>
        <v>2777632990.5299988</v>
      </c>
      <c r="D27" s="185">
        <f>ROUND($C27/$C$29,3)</f>
        <v>0.35499999999999998</v>
      </c>
      <c r="E27" s="94">
        <f t="shared" si="2"/>
        <v>2780000000</v>
      </c>
      <c r="G27" s="100">
        <f>C27/C29</f>
        <v>0.35450562989556872</v>
      </c>
    </row>
    <row r="28" spans="1:7" ht="14.45" x14ac:dyDescent="0.3">
      <c r="A28" s="91"/>
      <c r="B28" s="92"/>
      <c r="C28" s="93">
        <v>0</v>
      </c>
      <c r="D28" s="185"/>
      <c r="E28" s="94"/>
      <c r="G28" s="100"/>
    </row>
    <row r="29" spans="1:7" x14ac:dyDescent="0.25">
      <c r="A29" s="95">
        <f>SUM(A17:A28)</f>
        <v>7835229559.9599981</v>
      </c>
      <c r="B29" s="96" t="s">
        <v>15</v>
      </c>
      <c r="C29" s="97">
        <f>SUM(C17:C28)</f>
        <v>7835229559.9599981</v>
      </c>
      <c r="D29" s="186">
        <f>SUM(D17:D28)</f>
        <v>1</v>
      </c>
      <c r="E29" s="34">
        <f>SUM(E17:E28)</f>
        <v>7840000000</v>
      </c>
      <c r="G29" s="100"/>
    </row>
    <row r="30" spans="1:7" ht="14.45" x14ac:dyDescent="0.3">
      <c r="A30" s="89"/>
      <c r="B30" s="90"/>
      <c r="C30" s="88"/>
      <c r="D30" s="88"/>
      <c r="E30" s="34">
        <f>ROUND(A29,-7)</f>
        <v>7840000000</v>
      </c>
      <c r="G30" s="100"/>
    </row>
    <row r="31" spans="1:7" ht="14.45" x14ac:dyDescent="0.3">
      <c r="A31" s="89"/>
      <c r="B31" s="90"/>
      <c r="C31" s="88"/>
      <c r="D31" s="88"/>
      <c r="E31" s="90"/>
      <c r="G31" s="100"/>
    </row>
    <row r="32" spans="1:7" ht="14.45" x14ac:dyDescent="0.3">
      <c r="A32" s="89"/>
      <c r="B32" s="90"/>
      <c r="C32" s="88"/>
      <c r="D32" s="88"/>
      <c r="E32" s="90"/>
      <c r="G32" s="100"/>
    </row>
    <row r="33" spans="1:7" ht="14.45" x14ac:dyDescent="0.3">
      <c r="A33" s="89"/>
      <c r="B33" s="90"/>
      <c r="C33" s="88"/>
      <c r="D33" s="88"/>
      <c r="E33" s="90"/>
      <c r="G33" s="100"/>
    </row>
    <row r="34" spans="1:7" ht="14.45" x14ac:dyDescent="0.3">
      <c r="A34" s="89"/>
      <c r="B34" s="90"/>
      <c r="C34" s="88"/>
      <c r="D34" s="88"/>
      <c r="E34" s="90"/>
      <c r="G34" s="100"/>
    </row>
    <row r="35" spans="1:7" x14ac:dyDescent="0.25">
      <c r="A35" s="91">
        <v>16301432.17</v>
      </c>
      <c r="B35" s="92" t="s">
        <v>9</v>
      </c>
      <c r="C35" s="93">
        <f>A35</f>
        <v>16301432.17</v>
      </c>
      <c r="D35" s="185">
        <f>ROUND($C35/$C$47,3)</f>
        <v>1.0999999999999999E-2</v>
      </c>
      <c r="E35" s="94">
        <f>ROUNDDOWN(A35,-7)</f>
        <v>10000000</v>
      </c>
      <c r="G35" s="100">
        <f>C35/C47</f>
        <v>1.0658363668689518E-2</v>
      </c>
    </row>
    <row r="36" spans="1:7" ht="14.45" x14ac:dyDescent="0.3">
      <c r="A36" s="91"/>
      <c r="B36" s="92"/>
      <c r="C36" s="93">
        <v>0</v>
      </c>
      <c r="D36" s="185"/>
      <c r="E36" s="94"/>
      <c r="G36" s="100"/>
    </row>
    <row r="37" spans="1:7" x14ac:dyDescent="0.25">
      <c r="A37" s="91">
        <v>479508451.66000003</v>
      </c>
      <c r="B37" s="92" t="s">
        <v>10</v>
      </c>
      <c r="C37" s="93">
        <f>A37</f>
        <v>479508451.66000003</v>
      </c>
      <c r="D37" s="185">
        <f>ROUND($C37/$C$47,3)</f>
        <v>0.314</v>
      </c>
      <c r="E37" s="94">
        <f t="shared" ref="E37:E45" si="3">ROUND(A37,-7)</f>
        <v>480000000</v>
      </c>
      <c r="G37" s="100">
        <f>C37/C47</f>
        <v>0.3135169601483247</v>
      </c>
    </row>
    <row r="38" spans="1:7" ht="14.45" x14ac:dyDescent="0.3">
      <c r="A38" s="91"/>
      <c r="B38" s="92"/>
      <c r="C38" s="93">
        <v>0</v>
      </c>
      <c r="D38" s="185"/>
      <c r="E38" s="94"/>
      <c r="G38" s="100"/>
    </row>
    <row r="39" spans="1:7" x14ac:dyDescent="0.25">
      <c r="A39" s="91">
        <v>30297643.23</v>
      </c>
      <c r="B39" s="92" t="s">
        <v>13</v>
      </c>
      <c r="C39" s="93">
        <f>A39</f>
        <v>30297643.23</v>
      </c>
      <c r="D39" s="185">
        <f>ROUND($C39/$C$47,3)</f>
        <v>0.02</v>
      </c>
      <c r="E39" s="94">
        <f t="shared" si="3"/>
        <v>30000000</v>
      </c>
      <c r="G39" s="100">
        <f>C39/C47</f>
        <v>1.9809504863249627E-2</v>
      </c>
    </row>
    <row r="40" spans="1:7" ht="14.45" x14ac:dyDescent="0.3">
      <c r="A40" s="91"/>
      <c r="B40" s="92"/>
      <c r="C40" s="93">
        <v>0</v>
      </c>
      <c r="D40" s="185"/>
      <c r="E40" s="94"/>
      <c r="G40" s="100"/>
    </row>
    <row r="41" spans="1:7" s="98" customFormat="1" x14ac:dyDescent="0.25">
      <c r="A41" s="91">
        <v>116866568.38</v>
      </c>
      <c r="B41" s="92" t="s">
        <v>12</v>
      </c>
      <c r="C41" s="93">
        <f>A41</f>
        <v>116866568.38</v>
      </c>
      <c r="D41" s="185">
        <f>ROUND($C41/$C$47,3)</f>
        <v>7.5999999999999998E-2</v>
      </c>
      <c r="E41" s="94">
        <f t="shared" ref="E41" si="4">ROUND(A41,-7)</f>
        <v>120000000</v>
      </c>
      <c r="G41" s="100">
        <f>C41/C47</f>
        <v>7.6410856022708043E-2</v>
      </c>
    </row>
    <row r="42" spans="1:7" s="98" customFormat="1" ht="14.45" x14ac:dyDescent="0.3">
      <c r="A42" s="91"/>
      <c r="B42" s="92"/>
      <c r="C42" s="93">
        <v>0</v>
      </c>
      <c r="D42" s="185"/>
      <c r="E42" s="94"/>
      <c r="G42" s="100"/>
    </row>
    <row r="43" spans="1:7" x14ac:dyDescent="0.25">
      <c r="A43" s="91">
        <v>805042767.48000002</v>
      </c>
      <c r="B43" s="92" t="s">
        <v>11</v>
      </c>
      <c r="C43" s="93">
        <f>A43</f>
        <v>805042767.48000002</v>
      </c>
      <c r="D43" s="185">
        <f>ROUND($C43/$C$47,3)</f>
        <v>0.52600000000000002</v>
      </c>
      <c r="E43" s="94">
        <f>ROUND(A43,-7)</f>
        <v>810000000</v>
      </c>
      <c r="G43" s="100">
        <f>C43/C47</f>
        <v>0.52636102737285417</v>
      </c>
    </row>
    <row r="44" spans="1:7" ht="14.45" x14ac:dyDescent="0.3">
      <c r="A44" s="91"/>
      <c r="B44" s="92"/>
      <c r="C44" s="93">
        <v>0</v>
      </c>
      <c r="D44" s="185"/>
      <c r="E44" s="94"/>
      <c r="G44" s="100"/>
    </row>
    <row r="45" spans="1:7" x14ac:dyDescent="0.25">
      <c r="A45" s="91">
        <v>81432936.010000005</v>
      </c>
      <c r="B45" s="92" t="s">
        <v>14</v>
      </c>
      <c r="C45" s="93">
        <f>A45</f>
        <v>81432936.010000005</v>
      </c>
      <c r="D45" s="185">
        <f>ROUND($C45/$C$47,3)</f>
        <v>5.2999999999999999E-2</v>
      </c>
      <c r="E45" s="94">
        <f t="shared" si="3"/>
        <v>80000000</v>
      </c>
      <c r="G45" s="100">
        <f>C45/C47</f>
        <v>5.3243287924173988E-2</v>
      </c>
    </row>
    <row r="46" spans="1:7" ht="14.45" x14ac:dyDescent="0.3">
      <c r="A46" s="91"/>
      <c r="B46" s="92"/>
      <c r="C46" s="93">
        <v>0</v>
      </c>
      <c r="D46" s="185"/>
      <c r="E46" s="94"/>
      <c r="G46" s="100"/>
    </row>
    <row r="47" spans="1:7" x14ac:dyDescent="0.25">
      <c r="A47" s="95">
        <f>SUM(A35:A46)</f>
        <v>1529449798.9300001</v>
      </c>
      <c r="B47" s="96" t="s">
        <v>16</v>
      </c>
      <c r="C47" s="97">
        <f>SUM(C35:C46)</f>
        <v>1529449798.9300001</v>
      </c>
      <c r="D47" s="186">
        <f>SUM(D35:D46)</f>
        <v>1</v>
      </c>
      <c r="E47" s="34">
        <f>SUM(E35:E46)</f>
        <v>1530000000</v>
      </c>
      <c r="G47" s="100"/>
    </row>
    <row r="48" spans="1:7" ht="14.45" x14ac:dyDescent="0.3">
      <c r="A48" s="89"/>
      <c r="B48" s="90"/>
      <c r="C48" s="88"/>
      <c r="D48" s="88"/>
      <c r="E48" s="34">
        <f>ROUND(A47,-7)</f>
        <v>1530000000</v>
      </c>
    </row>
    <row r="49" spans="1:10" ht="14.45" x14ac:dyDescent="0.3">
      <c r="A49" s="89"/>
      <c r="B49" s="90"/>
      <c r="C49" s="88"/>
      <c r="D49" s="88"/>
      <c r="E49" s="88"/>
    </row>
    <row r="50" spans="1:10" ht="14.45" x14ac:dyDescent="0.3">
      <c r="A50" s="89"/>
      <c r="B50" s="90"/>
      <c r="C50" s="88"/>
      <c r="D50" s="88"/>
      <c r="E50" s="88"/>
    </row>
    <row r="51" spans="1:10" ht="14.45" x14ac:dyDescent="0.3">
      <c r="A51" s="89"/>
      <c r="B51" s="90"/>
      <c r="C51" s="88"/>
      <c r="D51" s="88"/>
      <c r="E51" s="88"/>
    </row>
    <row r="52" spans="1:10" ht="14.45" x14ac:dyDescent="0.3">
      <c r="A52" s="89"/>
      <c r="B52" s="90"/>
      <c r="C52" s="88"/>
      <c r="D52" s="88"/>
      <c r="E52" s="88"/>
    </row>
    <row r="53" spans="1:10" x14ac:dyDescent="0.25">
      <c r="A53" s="91">
        <f>A17+A35</f>
        <v>41926241.689999998</v>
      </c>
      <c r="B53" s="92" t="s">
        <v>9</v>
      </c>
      <c r="C53" s="93">
        <f>A53</f>
        <v>41926241.689999998</v>
      </c>
      <c r="D53" s="185">
        <f>ROUNDUP($C53/$C$65,3)</f>
        <v>5.0000000000000001E-3</v>
      </c>
      <c r="E53" s="94">
        <f>ROUND(A53,-7)</f>
        <v>40000000</v>
      </c>
      <c r="F53" s="94">
        <f>E17+E35</f>
        <v>40000000</v>
      </c>
      <c r="G53" s="94">
        <f>E53-F53</f>
        <v>0</v>
      </c>
      <c r="J53" s="187">
        <f>(C53/C65)*1000</f>
        <v>4.4770611019584914</v>
      </c>
    </row>
    <row r="54" spans="1:10" ht="14.45" x14ac:dyDescent="0.3">
      <c r="A54" s="91"/>
      <c r="B54" s="92"/>
      <c r="C54" s="93">
        <v>0</v>
      </c>
      <c r="D54" s="185"/>
      <c r="E54" s="94"/>
      <c r="F54" s="94"/>
      <c r="G54" s="94"/>
      <c r="J54" s="187"/>
    </row>
    <row r="55" spans="1:10" x14ac:dyDescent="0.25">
      <c r="A55" s="91">
        <f>A19+A37</f>
        <v>2273859454.9299998</v>
      </c>
      <c r="B55" s="92" t="s">
        <v>10</v>
      </c>
      <c r="C55" s="93">
        <f>A55</f>
        <v>2273859454.9299998</v>
      </c>
      <c r="D55" s="185">
        <f>ROUND($C55/$C$65,3)</f>
        <v>0.24299999999999999</v>
      </c>
      <c r="E55" s="94">
        <f>ROUNDUP(A55,-7)</f>
        <v>2280000000</v>
      </c>
      <c r="F55" s="94">
        <f>E19+E37</f>
        <v>2280000000</v>
      </c>
      <c r="G55" s="94">
        <f t="shared" ref="G55:G65" si="5">E55-F55</f>
        <v>0</v>
      </c>
      <c r="J55" s="187">
        <f>(C55/C65)</f>
        <v>0.24281231292467034</v>
      </c>
    </row>
    <row r="56" spans="1:10" ht="14.45" x14ac:dyDescent="0.3">
      <c r="A56" s="91"/>
      <c r="B56" s="92"/>
      <c r="C56" s="93">
        <v>0</v>
      </c>
      <c r="D56" s="185"/>
      <c r="E56" s="94"/>
      <c r="F56" s="94"/>
      <c r="G56" s="94"/>
      <c r="J56" s="187"/>
    </row>
    <row r="57" spans="1:10" x14ac:dyDescent="0.25">
      <c r="A57" s="91">
        <f>A21+A43</f>
        <v>2869274338.1599998</v>
      </c>
      <c r="B57" s="92" t="s">
        <v>11</v>
      </c>
      <c r="C57" s="93">
        <f>A57</f>
        <v>2869274338.1599998</v>
      </c>
      <c r="D57" s="185">
        <f>ROUND($C57/$C$65,3)</f>
        <v>0.30599999999999999</v>
      </c>
      <c r="E57" s="94">
        <f t="shared" ref="E57:E63" si="6">ROUND(A57,-7)</f>
        <v>2870000000</v>
      </c>
      <c r="F57" s="94">
        <f>E21+E43</f>
        <v>2870000000</v>
      </c>
      <c r="G57" s="94">
        <f t="shared" si="5"/>
        <v>0</v>
      </c>
      <c r="J57" s="187">
        <f>C57/C65</f>
        <v>0.30639322802186114</v>
      </c>
    </row>
    <row r="58" spans="1:10" ht="14.45" x14ac:dyDescent="0.3">
      <c r="A58" s="91"/>
      <c r="B58" s="92"/>
      <c r="C58" s="93">
        <v>0</v>
      </c>
      <c r="D58" s="185"/>
      <c r="E58" s="94"/>
      <c r="F58" s="94"/>
      <c r="G58" s="94"/>
      <c r="J58" s="187"/>
    </row>
    <row r="59" spans="1:10" x14ac:dyDescent="0.25">
      <c r="A59" s="91">
        <f>A23+A41</f>
        <v>786608392.14999998</v>
      </c>
      <c r="B59" s="92" t="s">
        <v>12</v>
      </c>
      <c r="C59" s="93">
        <f>A59</f>
        <v>786608392.14999998</v>
      </c>
      <c r="D59" s="185">
        <f>ROUND($C59/$C$65,3)</f>
        <v>8.4000000000000005E-2</v>
      </c>
      <c r="E59" s="94">
        <f t="shared" si="6"/>
        <v>790000000</v>
      </c>
      <c r="F59" s="94">
        <f>E23+E41</f>
        <v>790000000</v>
      </c>
      <c r="G59" s="94">
        <f t="shared" si="5"/>
        <v>0</v>
      </c>
      <c r="J59" s="187">
        <f>C59/C65</f>
        <v>8.3997365206451347E-2</v>
      </c>
    </row>
    <row r="60" spans="1:10" ht="14.45" x14ac:dyDescent="0.3">
      <c r="A60" s="91"/>
      <c r="B60" s="92"/>
      <c r="C60" s="93">
        <v>0</v>
      </c>
      <c r="D60" s="185"/>
      <c r="E60" s="94"/>
      <c r="F60" s="94"/>
      <c r="G60" s="94"/>
      <c r="J60" s="187"/>
    </row>
    <row r="61" spans="1:10" x14ac:dyDescent="0.25">
      <c r="A61" s="91">
        <f>A25+A39</f>
        <v>533945005.42000002</v>
      </c>
      <c r="B61" s="92" t="s">
        <v>13</v>
      </c>
      <c r="C61" s="93">
        <f>A61</f>
        <v>533945005.42000002</v>
      </c>
      <c r="D61" s="185">
        <f>ROUND($C61/$C$65,3)</f>
        <v>5.7000000000000002E-2</v>
      </c>
      <c r="E61" s="94">
        <f t="shared" si="6"/>
        <v>530000000</v>
      </c>
      <c r="F61" s="94">
        <f>E25+E39</f>
        <v>530000000</v>
      </c>
      <c r="G61" s="94">
        <f t="shared" si="5"/>
        <v>0</v>
      </c>
      <c r="J61" s="187">
        <f>C61/C65</f>
        <v>5.7016902016310871E-2</v>
      </c>
    </row>
    <row r="62" spans="1:10" ht="14.45" x14ac:dyDescent="0.3">
      <c r="A62" s="91"/>
      <c r="B62" s="92"/>
      <c r="C62" s="93">
        <v>0</v>
      </c>
      <c r="D62" s="185"/>
      <c r="E62" s="94"/>
      <c r="F62" s="94"/>
      <c r="G62" s="94"/>
      <c r="J62" s="187"/>
    </row>
    <row r="63" spans="1:10" x14ac:dyDescent="0.25">
      <c r="A63" s="91">
        <f>A27+A45</f>
        <v>2859065926.539999</v>
      </c>
      <c r="B63" s="92" t="s">
        <v>14</v>
      </c>
      <c r="C63" s="93">
        <f>A63</f>
        <v>2859065926.539999</v>
      </c>
      <c r="D63" s="185">
        <f>ROUND($C63/$C$65,3)</f>
        <v>0.30499999999999999</v>
      </c>
      <c r="E63" s="94">
        <f t="shared" si="6"/>
        <v>2860000000</v>
      </c>
      <c r="F63" s="94">
        <f>E27+E45</f>
        <v>2860000000</v>
      </c>
      <c r="G63" s="94">
        <f t="shared" si="5"/>
        <v>0</v>
      </c>
      <c r="J63" s="187">
        <f>C63/C65</f>
        <v>0.30530313072874771</v>
      </c>
    </row>
    <row r="64" spans="1:10" ht="14.45" x14ac:dyDescent="0.3">
      <c r="A64" s="91"/>
      <c r="B64" s="92"/>
      <c r="C64" s="93">
        <v>0</v>
      </c>
      <c r="D64" s="185"/>
      <c r="E64" s="94"/>
      <c r="F64" s="94"/>
      <c r="G64" s="94"/>
      <c r="J64" s="187"/>
    </row>
    <row r="65" spans="1:10" x14ac:dyDescent="0.25">
      <c r="A65" s="95">
        <f>SUM(A53:A64)</f>
        <v>9364679358.8899994</v>
      </c>
      <c r="B65" s="96" t="s">
        <v>17</v>
      </c>
      <c r="C65" s="97">
        <f>SUM(C53:C64)</f>
        <v>9364679358.8899994</v>
      </c>
      <c r="D65" s="186">
        <f>SUM(D53:D64)</f>
        <v>1</v>
      </c>
      <c r="E65" s="34">
        <f>SUM(E53:E64)</f>
        <v>9370000000</v>
      </c>
      <c r="F65" s="34">
        <f>SUM(F53:F64)</f>
        <v>9370000000</v>
      </c>
      <c r="G65" s="34">
        <f t="shared" si="5"/>
        <v>0</v>
      </c>
      <c r="J65" s="184"/>
    </row>
    <row r="66" spans="1:10" ht="14.45" x14ac:dyDescent="0.3">
      <c r="A66" s="89"/>
      <c r="B66" s="90"/>
      <c r="E66" s="34">
        <f>ROUNDUP(A65,-7)</f>
        <v>9370000000</v>
      </c>
      <c r="F66" s="90"/>
      <c r="G66" s="90"/>
    </row>
    <row r="68" spans="1:10" x14ac:dyDescent="0.25">
      <c r="D68" s="184"/>
    </row>
  </sheetData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2:L29"/>
  <sheetViews>
    <sheetView showGridLines="0" topLeftCell="G1" zoomScale="175" zoomScaleNormal="175" zoomScaleSheetLayoutView="160" workbookViewId="0">
      <selection activeCell="L10" sqref="L10"/>
    </sheetView>
  </sheetViews>
  <sheetFormatPr defaultColWidth="9.140625" defaultRowHeight="12.75" x14ac:dyDescent="0.2"/>
  <cols>
    <col min="1" max="1" width="26.42578125" style="4" bestFit="1" customWidth="1"/>
    <col min="2" max="4" width="17.7109375" style="4" hidden="1" customWidth="1"/>
    <col min="5" max="12" width="17.7109375" style="4" customWidth="1"/>
    <col min="13" max="16384" width="9.140625" style="4"/>
  </cols>
  <sheetData>
    <row r="2" spans="1:12" ht="21" x14ac:dyDescent="0.35">
      <c r="A2" s="208" t="s">
        <v>66</v>
      </c>
      <c r="B2" s="208"/>
      <c r="C2" s="208"/>
      <c r="D2" s="208"/>
      <c r="E2" s="208"/>
      <c r="F2" s="209"/>
      <c r="G2" s="209"/>
      <c r="H2" s="209"/>
      <c r="I2" s="209"/>
      <c r="J2" s="209"/>
      <c r="K2" s="210"/>
      <c r="L2" s="210"/>
    </row>
    <row r="3" spans="1:12" ht="13.9" thickBot="1" x14ac:dyDescent="0.3"/>
    <row r="4" spans="1:12" ht="16.899999999999999" customHeight="1" thickBot="1" x14ac:dyDescent="0.3">
      <c r="A4" s="113" t="s">
        <v>18</v>
      </c>
      <c r="B4" s="114">
        <v>2009</v>
      </c>
      <c r="C4" s="114">
        <v>2010</v>
      </c>
      <c r="D4" s="114">
        <v>2011</v>
      </c>
      <c r="E4" s="114">
        <v>2012</v>
      </c>
      <c r="F4" s="114">
        <v>2013</v>
      </c>
      <c r="G4" s="114">
        <v>2014</v>
      </c>
      <c r="H4" s="114">
        <v>2015</v>
      </c>
      <c r="I4" s="114">
        <v>2016</v>
      </c>
      <c r="J4" s="114">
        <v>2017</v>
      </c>
      <c r="K4" s="114">
        <v>2018</v>
      </c>
      <c r="L4" s="115">
        <v>2019</v>
      </c>
    </row>
    <row r="5" spans="1:12" ht="16.899999999999999" customHeight="1" x14ac:dyDescent="0.2">
      <c r="A5" s="109" t="s">
        <v>19</v>
      </c>
      <c r="B5" s="105">
        <f t="shared" ref="B5:G5" si="0">B18</f>
        <v>2109186968.9000001</v>
      </c>
      <c r="C5" s="105">
        <f t="shared" si="0"/>
        <v>1699945719.47</v>
      </c>
      <c r="D5" s="105">
        <f t="shared" si="0"/>
        <v>1458095420.6800001</v>
      </c>
      <c r="E5" s="105">
        <f t="shared" si="0"/>
        <v>2326441355.0799999</v>
      </c>
      <c r="F5" s="105">
        <f t="shared" si="0"/>
        <v>2645598545.1399999</v>
      </c>
      <c r="G5" s="105">
        <f t="shared" si="0"/>
        <v>2178472023</v>
      </c>
      <c r="H5" s="105">
        <f>H18+H7</f>
        <v>1601170854.78</v>
      </c>
      <c r="I5" s="105">
        <f>I18+I7</f>
        <v>1263752513.2</v>
      </c>
      <c r="J5" s="105">
        <f>J18+J7</f>
        <v>1416062342.0700002</v>
      </c>
      <c r="K5" s="105">
        <f>K18+K7</f>
        <v>1871522372.79</v>
      </c>
      <c r="L5" s="106">
        <f>L18+L7</f>
        <v>1884011314.26</v>
      </c>
    </row>
    <row r="6" spans="1:12" ht="16.899999999999999" customHeight="1" x14ac:dyDescent="0.2">
      <c r="A6" s="116" t="s">
        <v>20</v>
      </c>
      <c r="B6" s="117">
        <f t="shared" ref="B6:D6" si="1">B21</f>
        <v>6025113745.8099995</v>
      </c>
      <c r="C6" s="117">
        <f t="shared" si="1"/>
        <v>6699677771.3800011</v>
      </c>
      <c r="D6" s="117">
        <f t="shared" si="1"/>
        <v>6025426616.1199989</v>
      </c>
      <c r="E6" s="117">
        <f t="shared" ref="E6:F6" si="2">E21</f>
        <v>5459294846.5200024</v>
      </c>
      <c r="F6" s="117">
        <f t="shared" si="2"/>
        <v>5831442006.8499985</v>
      </c>
      <c r="G6" s="117">
        <f t="shared" ref="G6" si="3">G21</f>
        <v>6088027414.4300022</v>
      </c>
      <c r="H6" s="117">
        <f>H21-H7</f>
        <v>5490308529.5900002</v>
      </c>
      <c r="I6" s="117">
        <f>I21-I7</f>
        <v>5689619091.0599995</v>
      </c>
      <c r="J6" s="117">
        <f>J21-J7</f>
        <v>6374646776.1499987</v>
      </c>
      <c r="K6" s="117">
        <f>K21-K7</f>
        <v>6964995760.8400002</v>
      </c>
      <c r="L6" s="118">
        <f>L21-L7</f>
        <v>7480668044.6300011</v>
      </c>
    </row>
    <row r="7" spans="1:12" ht="16.899999999999999" customHeight="1" thickBot="1" x14ac:dyDescent="0.25">
      <c r="A7" s="119" t="s">
        <v>67</v>
      </c>
      <c r="B7" s="120">
        <v>0</v>
      </c>
      <c r="C7" s="120">
        <v>0</v>
      </c>
      <c r="D7" s="120">
        <v>0</v>
      </c>
      <c r="E7" s="120">
        <v>0</v>
      </c>
      <c r="F7" s="120">
        <v>0</v>
      </c>
      <c r="G7" s="120">
        <v>0</v>
      </c>
      <c r="H7" s="120">
        <v>95864091.980000004</v>
      </c>
      <c r="I7" s="120">
        <v>152890100.40000001</v>
      </c>
      <c r="J7" s="120">
        <v>239090428.63</v>
      </c>
      <c r="K7" s="120">
        <v>475693897.48000002</v>
      </c>
      <c r="L7" s="121">
        <v>354561515.32999998</v>
      </c>
    </row>
    <row r="8" spans="1:12" ht="16.899999999999999" customHeight="1" thickBot="1" x14ac:dyDescent="0.25">
      <c r="A8" s="111" t="s">
        <v>75</v>
      </c>
      <c r="B8" s="107">
        <f>SUM(B5:B7)-B7</f>
        <v>8134300714.7099991</v>
      </c>
      <c r="C8" s="107">
        <f>SUM(C5:C7)-C7</f>
        <v>8399623490.8500013</v>
      </c>
      <c r="D8" s="107">
        <f t="shared" ref="D8:K8" si="4">SUM(D5:D6)</f>
        <v>7483522036.7999992</v>
      </c>
      <c r="E8" s="107">
        <f t="shared" si="4"/>
        <v>7785736201.6000023</v>
      </c>
      <c r="F8" s="107">
        <f t="shared" si="4"/>
        <v>8477040551.9899979</v>
      </c>
      <c r="G8" s="107">
        <f t="shared" si="4"/>
        <v>8266499437.4300022</v>
      </c>
      <c r="H8" s="107">
        <f t="shared" si="4"/>
        <v>7091479384.3699999</v>
      </c>
      <c r="I8" s="107">
        <f>SUM(I5:I6)</f>
        <v>6953371604.2599993</v>
      </c>
      <c r="J8" s="107">
        <f t="shared" si="4"/>
        <v>7790709118.2199993</v>
      </c>
      <c r="K8" s="107">
        <f t="shared" si="4"/>
        <v>8836518133.6300011</v>
      </c>
      <c r="L8" s="108">
        <f t="shared" ref="L8" si="5">SUM(L5:L6)</f>
        <v>9364679358.8900013</v>
      </c>
    </row>
    <row r="9" spans="1:12" ht="16.899999999999999" customHeight="1" x14ac:dyDescent="0.2">
      <c r="A9" s="109" t="s">
        <v>63</v>
      </c>
      <c r="B9" s="188">
        <f>B5/B8</f>
        <v>0.25929542598366995</v>
      </c>
      <c r="C9" s="188">
        <f>C5/C8</f>
        <v>0.20238356175390593</v>
      </c>
      <c r="D9" s="188">
        <f>D5/D8</f>
        <v>0.19484080002836349</v>
      </c>
      <c r="E9" s="188">
        <f t="shared" ref="E9" si="6">E5/E8</f>
        <v>0.29880814027604818</v>
      </c>
      <c r="F9" s="188">
        <f t="shared" ref="F9:L9" si="7">F5/F8</f>
        <v>0.31208987722949394</v>
      </c>
      <c r="G9" s="188">
        <f t="shared" si="7"/>
        <v>0.26353017253422473</v>
      </c>
      <c r="H9" s="188">
        <f t="shared" si="7"/>
        <v>0.22578798696208102</v>
      </c>
      <c r="I9" s="188">
        <f t="shared" si="7"/>
        <v>0.18174672448481816</v>
      </c>
      <c r="J9" s="188">
        <f t="shared" si="7"/>
        <v>0.18176295900437089</v>
      </c>
      <c r="K9" s="188">
        <f t="shared" si="7"/>
        <v>0.21179409632707755</v>
      </c>
      <c r="L9" s="189">
        <f t="shared" si="7"/>
        <v>0.20118268250919724</v>
      </c>
    </row>
    <row r="10" spans="1:12" ht="16.899999999999999" customHeight="1" thickBot="1" x14ac:dyDescent="0.25">
      <c r="A10" s="110" t="s">
        <v>62</v>
      </c>
      <c r="B10" s="190">
        <f>B6/B8</f>
        <v>0.74070457401633016</v>
      </c>
      <c r="C10" s="190">
        <f>C6/C8</f>
        <v>0.79761643824609407</v>
      </c>
      <c r="D10" s="190">
        <f>D6/D8</f>
        <v>0.80515919997163643</v>
      </c>
      <c r="E10" s="190">
        <f t="shared" ref="E10" si="8">E6/E8</f>
        <v>0.70119185972395182</v>
      </c>
      <c r="F10" s="190">
        <f t="shared" ref="F10:L10" si="9">F6/F8</f>
        <v>0.68791012277050612</v>
      </c>
      <c r="G10" s="190">
        <f t="shared" si="9"/>
        <v>0.73646982746577527</v>
      </c>
      <c r="H10" s="190">
        <f t="shared" si="9"/>
        <v>0.77421201303791898</v>
      </c>
      <c r="I10" s="190">
        <f t="shared" si="9"/>
        <v>0.8182532755151819</v>
      </c>
      <c r="J10" s="190">
        <f t="shared" si="9"/>
        <v>0.81823704099562911</v>
      </c>
      <c r="K10" s="190">
        <f t="shared" si="9"/>
        <v>0.78820590367292231</v>
      </c>
      <c r="L10" s="191">
        <f t="shared" si="9"/>
        <v>0.79881731749080276</v>
      </c>
    </row>
    <row r="11" spans="1:12" ht="16.899999999999999" customHeight="1" thickBot="1" x14ac:dyDescent="0.3">
      <c r="A11" s="111" t="s">
        <v>21</v>
      </c>
      <c r="B11" s="192">
        <f>SUM(B9:B10)</f>
        <v>1</v>
      </c>
      <c r="C11" s="192">
        <f>SUM(C9:C10)</f>
        <v>1</v>
      </c>
      <c r="D11" s="192">
        <f t="shared" ref="D11:J11" si="10">SUM(D9:D10)</f>
        <v>0.99999999999999989</v>
      </c>
      <c r="E11" s="192">
        <f t="shared" si="10"/>
        <v>1</v>
      </c>
      <c r="F11" s="192">
        <f t="shared" si="10"/>
        <v>1</v>
      </c>
      <c r="G11" s="192">
        <f t="shared" si="10"/>
        <v>1</v>
      </c>
      <c r="H11" s="192">
        <f t="shared" si="10"/>
        <v>1</v>
      </c>
      <c r="I11" s="192">
        <f t="shared" si="10"/>
        <v>1</v>
      </c>
      <c r="J11" s="192">
        <f t="shared" si="10"/>
        <v>1</v>
      </c>
      <c r="K11" s="192">
        <f>SUM(K9:K10)</f>
        <v>0.99999999999999989</v>
      </c>
      <c r="L11" s="193">
        <f>SUM(L9:L10)</f>
        <v>1</v>
      </c>
    </row>
    <row r="12" spans="1:12" ht="16.899999999999999" customHeight="1" x14ac:dyDescent="0.2">
      <c r="A12" s="109" t="s">
        <v>64</v>
      </c>
      <c r="B12" s="194" t="s">
        <v>3</v>
      </c>
      <c r="C12" s="194">
        <f t="shared" ref="C12:L12" si="11">(C5-B5)/B5</f>
        <v>-0.19402796217891996</v>
      </c>
      <c r="D12" s="188">
        <f t="shared" si="11"/>
        <v>-0.14226942426455991</v>
      </c>
      <c r="E12" s="188">
        <f t="shared" si="11"/>
        <v>0.59553436769936252</v>
      </c>
      <c r="F12" s="188">
        <f t="shared" si="11"/>
        <v>0.13718686239955746</v>
      </c>
      <c r="G12" s="188">
        <f t="shared" si="11"/>
        <v>-0.17656742478866175</v>
      </c>
      <c r="H12" s="188">
        <f t="shared" si="11"/>
        <v>-0.265002791922474</v>
      </c>
      <c r="I12" s="188">
        <f t="shared" si="11"/>
        <v>-0.21073225294646086</v>
      </c>
      <c r="J12" s="188">
        <f t="shared" si="11"/>
        <v>0.12052188009844594</v>
      </c>
      <c r="K12" s="188">
        <f t="shared" si="11"/>
        <v>0.32163840333061061</v>
      </c>
      <c r="L12" s="189">
        <f t="shared" si="11"/>
        <v>6.673145697629012E-3</v>
      </c>
    </row>
    <row r="13" spans="1:12" ht="16.899999999999999" customHeight="1" thickBot="1" x14ac:dyDescent="0.25">
      <c r="A13" s="110" t="s">
        <v>65</v>
      </c>
      <c r="B13" s="195" t="s">
        <v>3</v>
      </c>
      <c r="C13" s="195">
        <f t="shared" ref="C13:L13" si="12">(C6-B6)/B6</f>
        <v>0.111958720453885</v>
      </c>
      <c r="D13" s="190">
        <f t="shared" si="12"/>
        <v>-0.10063934091581239</v>
      </c>
      <c r="E13" s="190">
        <f t="shared" si="12"/>
        <v>-9.3957126302958827E-2</v>
      </c>
      <c r="F13" s="190">
        <f t="shared" si="12"/>
        <v>6.8167624353027811E-2</v>
      </c>
      <c r="G13" s="190">
        <f t="shared" si="12"/>
        <v>4.4000335985267709E-2</v>
      </c>
      <c r="H13" s="190">
        <f t="shared" si="12"/>
        <v>-9.817940100323351E-2</v>
      </c>
      <c r="I13" s="190">
        <f t="shared" si="12"/>
        <v>3.6302251575811392E-2</v>
      </c>
      <c r="J13" s="190">
        <f t="shared" si="12"/>
        <v>0.12039956878068893</v>
      </c>
      <c r="K13" s="190">
        <f t="shared" si="12"/>
        <v>9.2608893546654802E-2</v>
      </c>
      <c r="L13" s="191">
        <f t="shared" si="12"/>
        <v>7.403770246197669E-2</v>
      </c>
    </row>
    <row r="14" spans="1:12" ht="16.899999999999999" customHeight="1" x14ac:dyDescent="0.2">
      <c r="A14" s="112" t="s">
        <v>68</v>
      </c>
      <c r="B14" s="122" t="s">
        <v>3</v>
      </c>
      <c r="C14" s="122" t="s">
        <v>3</v>
      </c>
      <c r="D14" s="122" t="s">
        <v>3</v>
      </c>
      <c r="E14" s="122" t="s">
        <v>3</v>
      </c>
      <c r="F14" s="122" t="s">
        <v>3</v>
      </c>
      <c r="G14" s="122" t="s">
        <v>3</v>
      </c>
      <c r="H14" s="122" t="s">
        <v>3</v>
      </c>
      <c r="I14" s="126">
        <f t="shared" ref="I14:L15" si="13">SUM(B5:I5)/8</f>
        <v>1910332925.0312502</v>
      </c>
      <c r="J14" s="126">
        <f t="shared" si="13"/>
        <v>1823692346.6775</v>
      </c>
      <c r="K14" s="126">
        <f t="shared" si="13"/>
        <v>1845139428.3425002</v>
      </c>
      <c r="L14" s="128">
        <f t="shared" si="13"/>
        <v>1898378915.0400002</v>
      </c>
    </row>
    <row r="15" spans="1:12" ht="16.899999999999999" customHeight="1" x14ac:dyDescent="0.2">
      <c r="A15" s="116" t="s">
        <v>69</v>
      </c>
      <c r="B15" s="125" t="s">
        <v>3</v>
      </c>
      <c r="C15" s="125" t="s">
        <v>3</v>
      </c>
      <c r="D15" s="125" t="s">
        <v>3</v>
      </c>
      <c r="E15" s="125" t="s">
        <v>3</v>
      </c>
      <c r="F15" s="125" t="s">
        <v>3</v>
      </c>
      <c r="G15" s="125" t="s">
        <v>3</v>
      </c>
      <c r="H15" s="125" t="s">
        <v>3</v>
      </c>
      <c r="I15" s="117">
        <f t="shared" si="13"/>
        <v>5913613752.7199993</v>
      </c>
      <c r="J15" s="117">
        <f t="shared" si="13"/>
        <v>5957305381.5124998</v>
      </c>
      <c r="K15" s="117">
        <f t="shared" si="13"/>
        <v>5990470130.1949997</v>
      </c>
      <c r="L15" s="118">
        <f t="shared" si="13"/>
        <v>6172375308.7587509</v>
      </c>
    </row>
    <row r="16" spans="1:12" ht="16.899999999999999" customHeight="1" thickBot="1" x14ac:dyDescent="0.25">
      <c r="A16" s="123" t="s">
        <v>74</v>
      </c>
      <c r="B16" s="124" t="s">
        <v>3</v>
      </c>
      <c r="C16" s="124" t="s">
        <v>3</v>
      </c>
      <c r="D16" s="124" t="s">
        <v>3</v>
      </c>
      <c r="E16" s="124" t="s">
        <v>3</v>
      </c>
      <c r="F16" s="124" t="s">
        <v>3</v>
      </c>
      <c r="G16" s="124" t="s">
        <v>3</v>
      </c>
      <c r="H16" s="124" t="s">
        <v>3</v>
      </c>
      <c r="I16" s="127">
        <f>SUM(B8:I8)/8</f>
        <v>7823946677.7512503</v>
      </c>
      <c r="J16" s="127">
        <f>SUM(C8:J8)/8</f>
        <v>7780997728.1900015</v>
      </c>
      <c r="K16" s="127">
        <f>SUM(D8:K8)/8</f>
        <v>7835609558.5375004</v>
      </c>
      <c r="L16" s="129">
        <f>SUM(E8:L8)/8</f>
        <v>8070754223.7987499</v>
      </c>
    </row>
    <row r="17" spans="1:12" x14ac:dyDescent="0.2">
      <c r="L17" s="102"/>
    </row>
    <row r="18" spans="1:12" x14ac:dyDescent="0.2">
      <c r="A18" s="4" t="s">
        <v>19</v>
      </c>
      <c r="B18" s="5">
        <v>2109186968.9000001</v>
      </c>
      <c r="C18" s="5">
        <v>1699945719.47</v>
      </c>
      <c r="D18" s="5">
        <v>1458095420.6800001</v>
      </c>
      <c r="E18" s="5">
        <v>2326441355.0799999</v>
      </c>
      <c r="F18" s="5">
        <v>2645598545.1399999</v>
      </c>
      <c r="G18" s="5">
        <v>2178472023</v>
      </c>
      <c r="H18" s="5">
        <v>1505306762.8</v>
      </c>
      <c r="I18" s="5">
        <v>1110862412.8</v>
      </c>
      <c r="J18" s="5">
        <v>1176971913.4400001</v>
      </c>
      <c r="K18" s="5">
        <v>1395828475.3099999</v>
      </c>
      <c r="L18" s="5">
        <v>1529449798.9300001</v>
      </c>
    </row>
    <row r="19" spans="1:12" x14ac:dyDescent="0.2">
      <c r="A19" s="4" t="s">
        <v>20</v>
      </c>
      <c r="B19" s="5">
        <v>13791580336.07</v>
      </c>
      <c r="C19" s="5">
        <v>16246226216.93</v>
      </c>
      <c r="D19" s="5">
        <v>14341052365.959999</v>
      </c>
      <c r="E19" s="5">
        <v>18238401902.240002</v>
      </c>
      <c r="F19" s="5">
        <v>19436059992.009998</v>
      </c>
      <c r="G19" s="5">
        <v>18168245835.330002</v>
      </c>
      <c r="H19" s="5">
        <v>18417174083.84</v>
      </c>
      <c r="I19" s="5">
        <v>16908260019.9</v>
      </c>
      <c r="J19" s="5">
        <v>16620408841.889999</v>
      </c>
      <c r="K19" s="5">
        <v>18863562406.91</v>
      </c>
      <c r="L19" s="5">
        <v>20641808318.150002</v>
      </c>
    </row>
    <row r="20" spans="1:12" x14ac:dyDescent="0.2">
      <c r="A20" s="4" t="s">
        <v>70</v>
      </c>
      <c r="B20" s="5">
        <v>7766466590.2600002</v>
      </c>
      <c r="C20" s="5">
        <v>9546548445.5499992</v>
      </c>
      <c r="D20" s="5">
        <v>8315625749.8400002</v>
      </c>
      <c r="E20" s="5">
        <v>12779107055.719999</v>
      </c>
      <c r="F20" s="5">
        <v>13604617985.16</v>
      </c>
      <c r="G20" s="5">
        <v>12080218420.9</v>
      </c>
      <c r="H20" s="5">
        <v>12831001462.27</v>
      </c>
      <c r="I20" s="5">
        <v>11065750828.440001</v>
      </c>
      <c r="J20" s="5">
        <v>10006671637.110001</v>
      </c>
      <c r="K20" s="5">
        <v>11422872748.59</v>
      </c>
      <c r="L20" s="5">
        <v>12806578758.190001</v>
      </c>
    </row>
    <row r="21" spans="1:12" x14ac:dyDescent="0.2">
      <c r="A21" s="4" t="s">
        <v>71</v>
      </c>
      <c r="B21" s="5">
        <f t="shared" ref="B21:K21" si="14">B19-B20</f>
        <v>6025113745.8099995</v>
      </c>
      <c r="C21" s="5">
        <f t="shared" si="14"/>
        <v>6699677771.3800011</v>
      </c>
      <c r="D21" s="5">
        <f t="shared" si="14"/>
        <v>6025426616.1199989</v>
      </c>
      <c r="E21" s="5">
        <f t="shared" si="14"/>
        <v>5459294846.5200024</v>
      </c>
      <c r="F21" s="5">
        <f t="shared" si="14"/>
        <v>5831442006.8499985</v>
      </c>
      <c r="G21" s="5">
        <f t="shared" si="14"/>
        <v>6088027414.4300022</v>
      </c>
      <c r="H21" s="5">
        <f t="shared" si="14"/>
        <v>5586172621.5699997</v>
      </c>
      <c r="I21" s="5">
        <f t="shared" si="14"/>
        <v>5842509191.4599991</v>
      </c>
      <c r="J21" s="5">
        <f t="shared" si="14"/>
        <v>6613737204.7799988</v>
      </c>
      <c r="K21" s="5">
        <f t="shared" si="14"/>
        <v>7440689658.3199997</v>
      </c>
      <c r="L21" s="5">
        <f t="shared" ref="L21" si="15">L19-L20</f>
        <v>7835229559.960001</v>
      </c>
    </row>
    <row r="22" spans="1:12" x14ac:dyDescent="0.2">
      <c r="A22" s="4" t="s">
        <v>72</v>
      </c>
      <c r="B22" s="104">
        <f t="shared" ref="B22:J22" si="16">B18+B21</f>
        <v>8134300714.7099991</v>
      </c>
      <c r="C22" s="104">
        <f t="shared" si="16"/>
        <v>8399623490.8500013</v>
      </c>
      <c r="D22" s="104">
        <f t="shared" si="16"/>
        <v>7483522036.7999992</v>
      </c>
      <c r="E22" s="104">
        <f t="shared" si="16"/>
        <v>7785736201.6000023</v>
      </c>
      <c r="F22" s="104">
        <f t="shared" si="16"/>
        <v>8477040551.9899979</v>
      </c>
      <c r="G22" s="104">
        <f t="shared" si="16"/>
        <v>8266499437.4300022</v>
      </c>
      <c r="H22" s="104">
        <f t="shared" si="16"/>
        <v>7091479384.3699999</v>
      </c>
      <c r="I22" s="104">
        <f t="shared" si="16"/>
        <v>6953371604.2599993</v>
      </c>
      <c r="J22" s="104">
        <f t="shared" si="16"/>
        <v>7790709118.2199993</v>
      </c>
      <c r="K22" s="104">
        <f>K18+K21</f>
        <v>8836518133.6299992</v>
      </c>
      <c r="L22" s="104">
        <f>L18+L21</f>
        <v>9364679358.8900013</v>
      </c>
    </row>
    <row r="23" spans="1:12" x14ac:dyDescent="0.2">
      <c r="A23" s="4" t="s">
        <v>73</v>
      </c>
      <c r="B23" s="5">
        <f t="shared" ref="B23:J23" si="17">B8-B22</f>
        <v>0</v>
      </c>
      <c r="C23" s="5">
        <f t="shared" si="17"/>
        <v>0</v>
      </c>
      <c r="D23" s="5">
        <f>D8-D22</f>
        <v>0</v>
      </c>
      <c r="E23" s="5">
        <f t="shared" si="17"/>
        <v>0</v>
      </c>
      <c r="F23" s="5">
        <f t="shared" si="17"/>
        <v>0</v>
      </c>
      <c r="G23" s="5">
        <f t="shared" si="17"/>
        <v>0</v>
      </c>
      <c r="H23" s="5">
        <f t="shared" si="17"/>
        <v>0</v>
      </c>
      <c r="I23" s="5">
        <f t="shared" si="17"/>
        <v>0</v>
      </c>
      <c r="J23" s="5">
        <f t="shared" si="17"/>
        <v>0</v>
      </c>
      <c r="K23" s="5">
        <f>K8-K22</f>
        <v>0</v>
      </c>
      <c r="L23" s="5">
        <f>L8-L22</f>
        <v>0</v>
      </c>
    </row>
    <row r="26" spans="1:12" x14ac:dyDescent="0.2">
      <c r="J26" s="6"/>
    </row>
    <row r="27" spans="1:12" x14ac:dyDescent="0.2">
      <c r="J27" s="6"/>
      <c r="K27" s="6"/>
      <c r="L27" s="6"/>
    </row>
    <row r="28" spans="1:12" x14ac:dyDescent="0.2">
      <c r="J28" s="6"/>
      <c r="K28" s="6"/>
      <c r="L28" s="6"/>
    </row>
    <row r="29" spans="1:12" x14ac:dyDescent="0.2">
      <c r="J29" s="6"/>
      <c r="K29" s="6"/>
      <c r="L29" s="6"/>
    </row>
  </sheetData>
  <mergeCells count="1">
    <mergeCell ref="A2:L2"/>
  </mergeCells>
  <pageMargins left="0.51181102362204722" right="0.51181102362204722" top="0.78740157480314965" bottom="0.78740157480314965" header="0.31496062992125984" footer="0.31496062992125984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499984740745262"/>
  </sheetPr>
  <dimension ref="A1:E15"/>
  <sheetViews>
    <sheetView showGridLines="0" zoomScale="175" zoomScaleNormal="175" zoomScaleSheetLayoutView="160" workbookViewId="0">
      <selection activeCell="D12" sqref="D12"/>
    </sheetView>
  </sheetViews>
  <sheetFormatPr defaultRowHeight="15" x14ac:dyDescent="0.25"/>
  <cols>
    <col min="2" max="2" width="19.7109375" customWidth="1"/>
    <col min="3" max="3" width="10.7109375" customWidth="1"/>
    <col min="4" max="4" width="19.7109375" customWidth="1"/>
    <col min="5" max="5" width="10.7109375" customWidth="1"/>
  </cols>
  <sheetData>
    <row r="1" spans="1:5" thickBot="1" x14ac:dyDescent="0.35"/>
    <row r="2" spans="1:5" ht="16.149999999999999" customHeight="1" thickBot="1" x14ac:dyDescent="0.3">
      <c r="A2" s="130"/>
      <c r="B2" s="131" t="s">
        <v>0</v>
      </c>
      <c r="C2" s="132" t="s">
        <v>1</v>
      </c>
      <c r="D2" s="133" t="s">
        <v>2</v>
      </c>
      <c r="E2" s="132" t="s">
        <v>1</v>
      </c>
    </row>
    <row r="3" spans="1:5" ht="16.149999999999999" customHeight="1" x14ac:dyDescent="0.3">
      <c r="A3" s="134">
        <v>2010</v>
      </c>
      <c r="B3" s="135">
        <v>844044904.73000002</v>
      </c>
      <c r="C3" s="136" t="s">
        <v>3</v>
      </c>
      <c r="D3" s="137">
        <v>601220345.02999997</v>
      </c>
      <c r="E3" s="136" t="s">
        <v>3</v>
      </c>
    </row>
    <row r="4" spans="1:5" ht="16.149999999999999" customHeight="1" x14ac:dyDescent="0.3">
      <c r="A4" s="138">
        <v>2011</v>
      </c>
      <c r="B4" s="139">
        <v>777458657.33000004</v>
      </c>
      <c r="C4" s="196">
        <f t="shared" ref="C4:C10" si="0">(B4-B3)/B3</f>
        <v>-7.88894607702183E-2</v>
      </c>
      <c r="D4" s="140">
        <v>205185847.78</v>
      </c>
      <c r="E4" s="196">
        <f t="shared" ref="E4:E10" si="1">(D4-D3)/D3</f>
        <v>-0.65871772391574424</v>
      </c>
    </row>
    <row r="5" spans="1:5" ht="16.149999999999999" customHeight="1" x14ac:dyDescent="0.3">
      <c r="A5" s="138">
        <v>2012</v>
      </c>
      <c r="B5" s="139">
        <v>794287594.38999999</v>
      </c>
      <c r="C5" s="196">
        <f t="shared" si="0"/>
        <v>2.1646086131184121E-2</v>
      </c>
      <c r="D5" s="140">
        <v>211394791.81</v>
      </c>
      <c r="E5" s="196">
        <f t="shared" si="1"/>
        <v>3.0260098818595049E-2</v>
      </c>
    </row>
    <row r="6" spans="1:5" ht="16.149999999999999" customHeight="1" x14ac:dyDescent="0.3">
      <c r="A6" s="138">
        <v>2013</v>
      </c>
      <c r="B6" s="139">
        <v>821027353.15999997</v>
      </c>
      <c r="C6" s="196">
        <f t="shared" si="0"/>
        <v>3.3665084232538826E-2</v>
      </c>
      <c r="D6" s="140">
        <v>199646057.37</v>
      </c>
      <c r="E6" s="196">
        <f t="shared" si="1"/>
        <v>-5.5577218054452683E-2</v>
      </c>
    </row>
    <row r="7" spans="1:5" ht="16.149999999999999" customHeight="1" x14ac:dyDescent="0.3">
      <c r="A7" s="138">
        <v>2014</v>
      </c>
      <c r="B7" s="139">
        <v>985846954.30999994</v>
      </c>
      <c r="C7" s="196">
        <f t="shared" si="0"/>
        <v>0.20074800250641625</v>
      </c>
      <c r="D7" s="140">
        <v>187891010.81999999</v>
      </c>
      <c r="E7" s="196">
        <f t="shared" si="1"/>
        <v>-5.8879432455881772E-2</v>
      </c>
    </row>
    <row r="8" spans="1:5" ht="16.149999999999999" customHeight="1" x14ac:dyDescent="0.3">
      <c r="A8" s="138">
        <v>2015</v>
      </c>
      <c r="B8" s="139">
        <v>927834197.95000005</v>
      </c>
      <c r="C8" s="196">
        <f t="shared" si="0"/>
        <v>-5.8845600837305792E-2</v>
      </c>
      <c r="D8" s="140">
        <v>95864091.980000004</v>
      </c>
      <c r="E8" s="196">
        <f t="shared" si="1"/>
        <v>-0.4897888325703989</v>
      </c>
    </row>
    <row r="9" spans="1:5" ht="16.149999999999999" customHeight="1" x14ac:dyDescent="0.3">
      <c r="A9" s="138">
        <v>2016</v>
      </c>
      <c r="B9" s="139">
        <v>997188845.34000003</v>
      </c>
      <c r="C9" s="196">
        <f t="shared" si="0"/>
        <v>7.4748966510649606E-2</v>
      </c>
      <c r="D9" s="140">
        <v>152890100.40000001</v>
      </c>
      <c r="E9" s="196">
        <f t="shared" si="1"/>
        <v>0.59486307377633385</v>
      </c>
    </row>
    <row r="10" spans="1:5" ht="16.149999999999999" customHeight="1" x14ac:dyDescent="0.3">
      <c r="A10" s="138">
        <v>2017</v>
      </c>
      <c r="B10" s="139">
        <v>1189200805.47</v>
      </c>
      <c r="C10" s="196">
        <f t="shared" si="0"/>
        <v>0.19255325711603993</v>
      </c>
      <c r="D10" s="140">
        <v>239090428.63</v>
      </c>
      <c r="E10" s="196">
        <f t="shared" si="1"/>
        <v>0.56380581871865909</v>
      </c>
    </row>
    <row r="11" spans="1:5" ht="16.149999999999999" customHeight="1" x14ac:dyDescent="0.3">
      <c r="A11" s="138">
        <v>2018</v>
      </c>
      <c r="B11" s="139">
        <v>1324002951.8499999</v>
      </c>
      <c r="C11" s="196">
        <f>(B11-B10)/B10</f>
        <v>0.11335524308421815</v>
      </c>
      <c r="D11" s="140">
        <v>475693897.48000002</v>
      </c>
      <c r="E11" s="196">
        <f>(D11-D10)/D10</f>
        <v>0.9895982461771875</v>
      </c>
    </row>
    <row r="12" spans="1:5" s="101" customFormat="1" ht="16.149999999999999" customHeight="1" thickBot="1" x14ac:dyDescent="0.35">
      <c r="A12" s="141">
        <v>2019</v>
      </c>
      <c r="B12" s="142">
        <v>1379034792.27</v>
      </c>
      <c r="C12" s="197">
        <f>(B12-B11)/B11</f>
        <v>4.1564741485738611E-2</v>
      </c>
      <c r="D12" s="143">
        <v>354561515.32999998</v>
      </c>
      <c r="E12" s="197">
        <f>(D12-D11)/D11</f>
        <v>-0.25464354870159522</v>
      </c>
    </row>
    <row r="13" spans="1:5" ht="14.45" x14ac:dyDescent="0.3">
      <c r="C13" s="2"/>
    </row>
    <row r="14" spans="1:5" ht="14.45" x14ac:dyDescent="0.3">
      <c r="B14" s="1"/>
      <c r="D14" s="1"/>
    </row>
    <row r="15" spans="1:5" ht="14.45" x14ac:dyDescent="0.3">
      <c r="B15" s="1"/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U18"/>
  <sheetViews>
    <sheetView showGridLines="0" zoomScale="115" zoomScaleNormal="115" zoomScaleSheetLayoutView="130" workbookViewId="0">
      <selection activeCell="T15" sqref="T15"/>
    </sheetView>
  </sheetViews>
  <sheetFormatPr defaultColWidth="8.85546875" defaultRowHeight="15" x14ac:dyDescent="0.25"/>
  <cols>
    <col min="1" max="1" width="32.85546875" style="103" customWidth="1"/>
    <col min="2" max="2" width="22.7109375" style="103" customWidth="1"/>
    <col min="3" max="8" width="14.7109375" style="103" hidden="1" customWidth="1"/>
    <col min="9" max="9" width="16.7109375" style="103" hidden="1" customWidth="1"/>
    <col min="10" max="12" width="14.7109375" style="103" hidden="1" customWidth="1"/>
    <col min="13" max="20" width="14.7109375" style="103" customWidth="1"/>
    <col min="21" max="21" width="17.7109375" style="103" customWidth="1"/>
    <col min="22" max="16384" width="8.85546875" style="103"/>
  </cols>
  <sheetData>
    <row r="1" spans="1:21" ht="26.25" x14ac:dyDescent="0.4">
      <c r="A1" s="213" t="s">
        <v>76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4"/>
      <c r="O1" s="214"/>
      <c r="P1" s="214"/>
      <c r="Q1" s="214"/>
      <c r="R1" s="214"/>
      <c r="S1" s="214"/>
    </row>
    <row r="2" spans="1:21" thickBot="1" x14ac:dyDescent="0.35"/>
    <row r="3" spans="1:21" ht="20.100000000000001" customHeight="1" thickTop="1" thickBot="1" x14ac:dyDescent="0.3">
      <c r="A3" s="7" t="s">
        <v>22</v>
      </c>
      <c r="B3" s="8"/>
      <c r="C3" s="9">
        <v>2002</v>
      </c>
      <c r="D3" s="9">
        <v>2003</v>
      </c>
      <c r="E3" s="9">
        <v>2004</v>
      </c>
      <c r="F3" s="9">
        <v>2005</v>
      </c>
      <c r="G3" s="9">
        <v>2006</v>
      </c>
      <c r="H3" s="9">
        <v>2007</v>
      </c>
      <c r="I3" s="9">
        <v>2008</v>
      </c>
      <c r="J3" s="10">
        <v>2009</v>
      </c>
      <c r="K3" s="9">
        <v>2010</v>
      </c>
      <c r="L3" s="9">
        <v>2011</v>
      </c>
      <c r="M3" s="10">
        <v>2012</v>
      </c>
      <c r="N3" s="10">
        <v>2013</v>
      </c>
      <c r="O3" s="10">
        <v>2014</v>
      </c>
      <c r="P3" s="10">
        <v>2015</v>
      </c>
      <c r="Q3" s="10">
        <v>2016</v>
      </c>
      <c r="R3" s="10">
        <v>2017</v>
      </c>
      <c r="S3" s="10">
        <v>2018</v>
      </c>
      <c r="T3" s="10">
        <v>2019</v>
      </c>
    </row>
    <row r="4" spans="1:21" ht="20.100000000000001" customHeight="1" thickTop="1" x14ac:dyDescent="0.25">
      <c r="A4" s="215" t="s">
        <v>23</v>
      </c>
      <c r="B4" s="11" t="s">
        <v>24</v>
      </c>
      <c r="C4" s="12">
        <v>972798622</v>
      </c>
      <c r="D4" s="12">
        <v>1052011920</v>
      </c>
      <c r="E4" s="12">
        <v>1155212326</v>
      </c>
      <c r="F4" s="12">
        <v>1227004586</v>
      </c>
      <c r="G4" s="12">
        <v>1237789051.6700001</v>
      </c>
      <c r="H4" s="12">
        <v>1378574104.25</v>
      </c>
      <c r="I4" s="12">
        <v>1246557790.3199999</v>
      </c>
      <c r="J4" s="13">
        <v>1160332065.21</v>
      </c>
      <c r="K4" s="12">
        <v>1186106265.4200001</v>
      </c>
      <c r="L4" s="12">
        <v>1244050759.8700001</v>
      </c>
      <c r="M4" s="13">
        <v>1248887559.47</v>
      </c>
      <c r="N4" s="13">
        <f>1238728373.23</f>
        <v>1238728373.23</v>
      </c>
      <c r="O4" s="13">
        <v>1259039502.96</v>
      </c>
      <c r="P4" s="13">
        <v>1278457951.02</v>
      </c>
      <c r="Q4" s="13">
        <v>1459301625.48</v>
      </c>
      <c r="R4" s="13">
        <f>1655725892.61</f>
        <v>1655725892.6099999</v>
      </c>
      <c r="S4" s="13">
        <v>1854607936.8499999</v>
      </c>
      <c r="T4" s="13">
        <v>2065137597.8</v>
      </c>
      <c r="U4" s="1"/>
    </row>
    <row r="5" spans="1:21" ht="20.100000000000001" customHeight="1" x14ac:dyDescent="0.25">
      <c r="A5" s="216"/>
      <c r="B5" s="14" t="s">
        <v>25</v>
      </c>
      <c r="C5" s="144" t="s">
        <v>3</v>
      </c>
      <c r="D5" s="198">
        <f t="shared" ref="D5:H5" si="0">(D4-C4)/C4</f>
        <v>8.1428258848828844E-2</v>
      </c>
      <c r="E5" s="198">
        <f t="shared" si="0"/>
        <v>9.8098133716963964E-2</v>
      </c>
      <c r="F5" s="198">
        <f t="shared" si="0"/>
        <v>6.2146376370987577E-2</v>
      </c>
      <c r="G5" s="198">
        <f t="shared" si="0"/>
        <v>8.7892627240759771E-3</v>
      </c>
      <c r="H5" s="198">
        <f t="shared" si="0"/>
        <v>0.11373913219708606</v>
      </c>
      <c r="I5" s="198">
        <f>(I4-H4)/H4</f>
        <v>-9.5762943408705822E-2</v>
      </c>
      <c r="J5" s="199">
        <f>(J4-I4)/I4</f>
        <v>-6.9171061124944047E-2</v>
      </c>
      <c r="K5" s="198">
        <f>(K4-J4)/J4</f>
        <v>2.2212779412706614E-2</v>
      </c>
      <c r="L5" s="198">
        <f t="shared" ref="L5:S5" si="1">(L4-K4)/K4</f>
        <v>4.8852700756522781E-2</v>
      </c>
      <c r="M5" s="198">
        <f t="shared" si="1"/>
        <v>3.887943929639444E-3</v>
      </c>
      <c r="N5" s="198">
        <f t="shared" si="1"/>
        <v>-8.1345883886547333E-3</v>
      </c>
      <c r="O5" s="198">
        <f t="shared" si="1"/>
        <v>1.6396758295798529E-2</v>
      </c>
      <c r="P5" s="198">
        <f t="shared" si="1"/>
        <v>1.5423223826057245E-2</v>
      </c>
      <c r="Q5" s="198">
        <f t="shared" si="1"/>
        <v>0.14145453459436536</v>
      </c>
      <c r="R5" s="198">
        <f t="shared" si="1"/>
        <v>0.13460155440133298</v>
      </c>
      <c r="S5" s="198">
        <f t="shared" si="1"/>
        <v>0.12011773514424705</v>
      </c>
      <c r="T5" s="198">
        <f>(T4-S4)/S4</f>
        <v>0.11351707105685034</v>
      </c>
      <c r="U5" s="1"/>
    </row>
    <row r="6" spans="1:21" ht="20.100000000000001" customHeight="1" x14ac:dyDescent="0.25">
      <c r="A6" s="217" t="s">
        <v>26</v>
      </c>
      <c r="B6" s="15" t="s">
        <v>24</v>
      </c>
      <c r="C6" s="16">
        <v>253688963.03</v>
      </c>
      <c r="D6" s="16">
        <v>273995050.88</v>
      </c>
      <c r="E6" s="16">
        <v>304072124.06</v>
      </c>
      <c r="F6" s="16">
        <v>318638297.31</v>
      </c>
      <c r="G6" s="16">
        <v>197650246.47</v>
      </c>
      <c r="H6" s="16">
        <v>192714133.97</v>
      </c>
      <c r="I6" s="16">
        <v>204454195.49000001</v>
      </c>
      <c r="J6" s="17">
        <v>88397573.870000005</v>
      </c>
      <c r="K6" s="16">
        <v>114231293.41</v>
      </c>
      <c r="L6" s="16">
        <v>58603214.049999997</v>
      </c>
      <c r="M6" s="17">
        <v>43365670.240000002</v>
      </c>
      <c r="N6" s="17">
        <f>49796466.76</f>
        <v>49796466.759999998</v>
      </c>
      <c r="O6" s="17">
        <v>56918942.489999995</v>
      </c>
      <c r="P6" s="17">
        <v>84309374.209999993</v>
      </c>
      <c r="Q6" s="17">
        <v>69993741.700000003</v>
      </c>
      <c r="R6" s="17">
        <f>56891091.93</f>
        <v>56891091.93</v>
      </c>
      <c r="S6" s="17">
        <v>41425996.219999999</v>
      </c>
      <c r="T6" s="17">
        <v>54276767.850000001</v>
      </c>
      <c r="U6" s="1"/>
    </row>
    <row r="7" spans="1:21" ht="20.100000000000001" customHeight="1" x14ac:dyDescent="0.25">
      <c r="A7" s="218"/>
      <c r="B7" s="15" t="s">
        <v>25</v>
      </c>
      <c r="C7" s="145" t="s">
        <v>3</v>
      </c>
      <c r="D7" s="200">
        <f t="shared" ref="D7:H7" si="2">(D6-C6)/C6</f>
        <v>8.0043245111923525E-2</v>
      </c>
      <c r="E7" s="200">
        <f t="shared" si="2"/>
        <v>0.10977232283357076</v>
      </c>
      <c r="F7" s="200">
        <f t="shared" si="2"/>
        <v>4.7903678428364516E-2</v>
      </c>
      <c r="G7" s="200">
        <f t="shared" si="2"/>
        <v>-0.37970341877107117</v>
      </c>
      <c r="H7" s="200">
        <f t="shared" si="2"/>
        <v>-2.4973975940623071E-2</v>
      </c>
      <c r="I7" s="200">
        <f>(I6-H6)/H6</f>
        <v>6.0919566604427662E-2</v>
      </c>
      <c r="J7" s="201">
        <f>(J6-I6)/I6</f>
        <v>-0.56764118408945252</v>
      </c>
      <c r="K7" s="200">
        <f t="shared" ref="K7:S7" si="3">(K6-J6)/J6</f>
        <v>0.29224466700852897</v>
      </c>
      <c r="L7" s="200">
        <f t="shared" si="3"/>
        <v>-0.48697758468285213</v>
      </c>
      <c r="M7" s="200">
        <f t="shared" si="3"/>
        <v>-0.26001208392767317</v>
      </c>
      <c r="N7" s="200">
        <f t="shared" si="3"/>
        <v>0.14829233549048901</v>
      </c>
      <c r="O7" s="200">
        <f t="shared" si="3"/>
        <v>0.1430317489055522</v>
      </c>
      <c r="P7" s="200">
        <f>(P6-O6)/O6</f>
        <v>0.4812182117545874</v>
      </c>
      <c r="Q7" s="200">
        <f t="shared" si="3"/>
        <v>-0.16979882301512805</v>
      </c>
      <c r="R7" s="200">
        <f t="shared" si="3"/>
        <v>-0.18719744725405932</v>
      </c>
      <c r="S7" s="200">
        <f t="shared" si="3"/>
        <v>-0.27183685855473788</v>
      </c>
      <c r="T7" s="200">
        <f>(T6-S6)/S6</f>
        <v>0.31021032208262977</v>
      </c>
      <c r="U7" s="1"/>
    </row>
    <row r="8" spans="1:21" ht="20.100000000000001" customHeight="1" x14ac:dyDescent="0.25">
      <c r="A8" s="219" t="s">
        <v>27</v>
      </c>
      <c r="B8" s="18" t="s">
        <v>24</v>
      </c>
      <c r="C8" s="19">
        <v>71992222</v>
      </c>
      <c r="D8" s="19">
        <v>67352825</v>
      </c>
      <c r="E8" s="19">
        <v>80470564</v>
      </c>
      <c r="F8" s="19">
        <v>67458009</v>
      </c>
      <c r="G8" s="19">
        <v>77247580.650000006</v>
      </c>
      <c r="H8" s="19">
        <v>88290471.150000006</v>
      </c>
      <c r="I8" s="19">
        <v>105896432.94</v>
      </c>
      <c r="J8" s="20">
        <v>102572523.49000001</v>
      </c>
      <c r="K8" s="19">
        <v>102437381.77</v>
      </c>
      <c r="L8" s="19">
        <v>110212737</v>
      </c>
      <c r="M8" s="20">
        <v>129459265.11</v>
      </c>
      <c r="N8" s="20">
        <f>123021754.96</f>
        <v>123021754.95999999</v>
      </c>
      <c r="O8" s="20">
        <v>138490865.80999997</v>
      </c>
      <c r="P8" s="20">
        <v>147290158.72</v>
      </c>
      <c r="Q8" s="20">
        <v>148986032.56999999</v>
      </c>
      <c r="R8" s="20">
        <f>147150464.68</f>
        <v>147150464.68000001</v>
      </c>
      <c r="S8" s="20">
        <v>163583863.15000001</v>
      </c>
      <c r="T8" s="20">
        <v>183041506.52000001</v>
      </c>
      <c r="U8" s="1"/>
    </row>
    <row r="9" spans="1:21" ht="20.100000000000001" customHeight="1" x14ac:dyDescent="0.25">
      <c r="A9" s="220"/>
      <c r="B9" s="18" t="s">
        <v>25</v>
      </c>
      <c r="C9" s="144" t="s">
        <v>3</v>
      </c>
      <c r="D9" s="198">
        <f t="shared" ref="D9:H9" si="4">(D8-C8)/C8</f>
        <v>-6.4443031081885482E-2</v>
      </c>
      <c r="E9" s="198">
        <f t="shared" si="4"/>
        <v>0.19476152633538385</v>
      </c>
      <c r="F9" s="198">
        <f t="shared" si="4"/>
        <v>-0.16170577604004366</v>
      </c>
      <c r="G9" s="198">
        <f t="shared" si="4"/>
        <v>0.14512096925362866</v>
      </c>
      <c r="H9" s="198">
        <f t="shared" si="4"/>
        <v>0.14295451594832567</v>
      </c>
      <c r="I9" s="198">
        <f>(I8-H8)/H8</f>
        <v>0.1994095349212551</v>
      </c>
      <c r="J9" s="199">
        <f>(J8-I8)/I8</f>
        <v>-3.1388304192297829E-2</v>
      </c>
      <c r="K9" s="198">
        <f t="shared" ref="K9:S9" si="5">(K8-J8)/J8</f>
        <v>-1.3175235960065752E-3</v>
      </c>
      <c r="L9" s="198">
        <f t="shared" si="5"/>
        <v>7.5903494365541363E-2</v>
      </c>
      <c r="M9" s="198">
        <f t="shared" si="5"/>
        <v>0.17463070634022998</v>
      </c>
      <c r="N9" s="198">
        <f t="shared" si="5"/>
        <v>-4.9726144702969925E-2</v>
      </c>
      <c r="O9" s="198">
        <f t="shared" si="5"/>
        <v>0.12574288876816703</v>
      </c>
      <c r="P9" s="198">
        <f t="shared" si="5"/>
        <v>6.3536991111544178E-2</v>
      </c>
      <c r="Q9" s="198">
        <f t="shared" si="5"/>
        <v>1.1513830012389805E-2</v>
      </c>
      <c r="R9" s="198">
        <f t="shared" si="5"/>
        <v>-1.2320402512480877E-2</v>
      </c>
      <c r="S9" s="198">
        <f t="shared" si="5"/>
        <v>0.11167751665437689</v>
      </c>
      <c r="T9" s="198">
        <f>(T8-S8)/S8</f>
        <v>0.11894598278412161</v>
      </c>
      <c r="U9" s="1"/>
    </row>
    <row r="10" spans="1:21" ht="20.100000000000001" customHeight="1" x14ac:dyDescent="0.25">
      <c r="A10" s="217" t="s">
        <v>28</v>
      </c>
      <c r="B10" s="21" t="s">
        <v>24</v>
      </c>
      <c r="C10" s="22">
        <v>1062290827</v>
      </c>
      <c r="D10" s="22">
        <v>1162028720</v>
      </c>
      <c r="E10" s="22">
        <v>1263687819</v>
      </c>
      <c r="F10" s="22">
        <v>1392612917</v>
      </c>
      <c r="G10" s="22">
        <v>1430243381.6199999</v>
      </c>
      <c r="H10" s="22">
        <v>1603189929.04</v>
      </c>
      <c r="I10" s="22">
        <v>1843792357.4300001</v>
      </c>
      <c r="J10" s="23">
        <v>1277180357.0700002</v>
      </c>
      <c r="K10" s="22">
        <v>1248756805.1500001</v>
      </c>
      <c r="L10" s="22">
        <v>1135927487.47</v>
      </c>
      <c r="M10" s="23">
        <v>1271060771.3900001</v>
      </c>
      <c r="N10" s="23">
        <f>1218826234.53</f>
        <v>1218826234.53</v>
      </c>
      <c r="O10" s="23">
        <v>1320936831.9299998</v>
      </c>
      <c r="P10" s="23">
        <v>1350117402.0699999</v>
      </c>
      <c r="Q10" s="23">
        <v>1539501529.52</v>
      </c>
      <c r="R10" s="23">
        <v>1566737436.8199999</v>
      </c>
      <c r="S10" s="23">
        <v>1501605470.3099999</v>
      </c>
      <c r="T10" s="23">
        <v>1705001750.8900001</v>
      </c>
      <c r="U10" s="1"/>
    </row>
    <row r="11" spans="1:21" ht="20.100000000000001" customHeight="1" x14ac:dyDescent="0.25">
      <c r="A11" s="218"/>
      <c r="B11" s="15" t="s">
        <v>25</v>
      </c>
      <c r="C11" s="145" t="s">
        <v>3</v>
      </c>
      <c r="D11" s="200">
        <f t="shared" ref="D11:H11" si="6">(D10-C10)/C10</f>
        <v>9.3889442010591698E-2</v>
      </c>
      <c r="E11" s="200">
        <f t="shared" si="6"/>
        <v>8.7484153575825563E-2</v>
      </c>
      <c r="F11" s="200">
        <f t="shared" si="6"/>
        <v>0.10202290159133044</v>
      </c>
      <c r="G11" s="200">
        <f t="shared" si="6"/>
        <v>2.7021481820708897E-2</v>
      </c>
      <c r="H11" s="200">
        <f t="shared" si="6"/>
        <v>0.12092106115821209</v>
      </c>
      <c r="I11" s="200">
        <f>(I10-H10)/H10</f>
        <v>0.15007730776731759</v>
      </c>
      <c r="J11" s="201">
        <f>(J10-I10)/I10</f>
        <v>-0.30730792330096285</v>
      </c>
      <c r="K11" s="200">
        <f t="shared" ref="K11:S11" si="7">(K10-J10)/J10</f>
        <v>-2.2254924108923033E-2</v>
      </c>
      <c r="L11" s="200">
        <f t="shared" si="7"/>
        <v>-9.0353315565272985E-2</v>
      </c>
      <c r="M11" s="200">
        <f t="shared" si="7"/>
        <v>0.11896294914121353</v>
      </c>
      <c r="N11" s="200">
        <f t="shared" si="7"/>
        <v>-4.1095231664555074E-2</v>
      </c>
      <c r="O11" s="200">
        <f t="shared" si="7"/>
        <v>8.3777813856603961E-2</v>
      </c>
      <c r="P11" s="200">
        <f t="shared" si="7"/>
        <v>2.2090814212035285E-2</v>
      </c>
      <c r="Q11" s="200">
        <f t="shared" si="7"/>
        <v>0.14027234013844744</v>
      </c>
      <c r="R11" s="200">
        <f t="shared" si="7"/>
        <v>1.7691380474621429E-2</v>
      </c>
      <c r="S11" s="200">
        <f t="shared" si="7"/>
        <v>-4.1571717748825898E-2</v>
      </c>
      <c r="T11" s="200">
        <f>(T10-S10)/S10</f>
        <v>0.13545254369512244</v>
      </c>
      <c r="U11" s="1"/>
    </row>
    <row r="12" spans="1:21" ht="20.100000000000001" customHeight="1" x14ac:dyDescent="0.25">
      <c r="A12" s="221" t="s">
        <v>29</v>
      </c>
      <c r="B12" s="24" t="s">
        <v>24</v>
      </c>
      <c r="C12" s="25">
        <v>1651195531</v>
      </c>
      <c r="D12" s="25">
        <v>1750826845</v>
      </c>
      <c r="E12" s="25">
        <v>1862131020</v>
      </c>
      <c r="F12" s="25">
        <v>2191420551</v>
      </c>
      <c r="G12" s="25">
        <v>2308814439</v>
      </c>
      <c r="H12" s="25">
        <v>2428454954</v>
      </c>
      <c r="I12" s="25">
        <v>2634433848.4899998</v>
      </c>
      <c r="J12" s="26">
        <v>2567991172</v>
      </c>
      <c r="K12" s="25">
        <v>2688615529.5999999</v>
      </c>
      <c r="L12" s="25">
        <v>2737091042</v>
      </c>
      <c r="M12" s="26">
        <v>2565161272</v>
      </c>
      <c r="N12" s="26">
        <f>2580681945.54</f>
        <v>2580681945.54</v>
      </c>
      <c r="O12" s="26">
        <v>2667641564.3200002</v>
      </c>
      <c r="P12" s="26">
        <v>2698545507.9899998</v>
      </c>
      <c r="Q12" s="26">
        <v>2814007939.02</v>
      </c>
      <c r="R12" s="26">
        <v>3177404084.8200002</v>
      </c>
      <c r="S12" s="26">
        <v>3698685906.6599998</v>
      </c>
      <c r="T12" s="26">
        <v>3838579017.2199998</v>
      </c>
      <c r="U12" s="1"/>
    </row>
    <row r="13" spans="1:21" ht="20.100000000000001" customHeight="1" thickBot="1" x14ac:dyDescent="0.3">
      <c r="A13" s="222"/>
      <c r="B13" s="27" t="s">
        <v>25</v>
      </c>
      <c r="C13" s="146" t="s">
        <v>3</v>
      </c>
      <c r="D13" s="202">
        <f t="shared" ref="D13:H13" si="8">(D12-C12)/C12</f>
        <v>6.0338895139609001E-2</v>
      </c>
      <c r="E13" s="202">
        <f t="shared" si="8"/>
        <v>6.3572348869256681E-2</v>
      </c>
      <c r="F13" s="202">
        <f t="shared" si="8"/>
        <v>0.17683478093823923</v>
      </c>
      <c r="G13" s="202">
        <f t="shared" si="8"/>
        <v>5.3569766855764055E-2</v>
      </c>
      <c r="H13" s="202">
        <f t="shared" si="8"/>
        <v>5.1819025807816339E-2</v>
      </c>
      <c r="I13" s="202">
        <f>(I12-H12)/H12</f>
        <v>8.4818906832397345E-2</v>
      </c>
      <c r="J13" s="203">
        <f>(J12-I12)/I12</f>
        <v>-2.5220855907269513E-2</v>
      </c>
      <c r="K13" s="202">
        <f t="shared" ref="K13:S13" si="9">(K12-J12)/J12</f>
        <v>4.6972263345459779E-2</v>
      </c>
      <c r="L13" s="202">
        <f t="shared" si="9"/>
        <v>1.8029916091131134E-2</v>
      </c>
      <c r="M13" s="202">
        <f t="shared" si="9"/>
        <v>-6.2814779399654325E-2</v>
      </c>
      <c r="N13" s="202">
        <f t="shared" si="9"/>
        <v>6.0505644262665919E-3</v>
      </c>
      <c r="O13" s="202">
        <f t="shared" si="9"/>
        <v>3.3696371972643135E-2</v>
      </c>
      <c r="P13" s="202">
        <f t="shared" si="9"/>
        <v>1.1584743648975654E-2</v>
      </c>
      <c r="Q13" s="202">
        <f t="shared" si="9"/>
        <v>4.2786912686161041E-2</v>
      </c>
      <c r="R13" s="202">
        <f t="shared" si="9"/>
        <v>0.1291382802304942</v>
      </c>
      <c r="S13" s="202">
        <f t="shared" si="9"/>
        <v>0.16405902677925532</v>
      </c>
      <c r="T13" s="202">
        <f>(T12-S12)/S12</f>
        <v>3.7822381810821752E-2</v>
      </c>
      <c r="U13" s="1"/>
    </row>
    <row r="14" spans="1:21" ht="20.100000000000001" customHeight="1" thickTop="1" x14ac:dyDescent="0.25">
      <c r="A14" s="211" t="s">
        <v>30</v>
      </c>
      <c r="B14" s="28" t="s">
        <v>24</v>
      </c>
      <c r="C14" s="30">
        <f t="shared" ref="C14:Q14" si="10">C4+C6+C8+C10+C12</f>
        <v>4011966165.0299997</v>
      </c>
      <c r="D14" s="30">
        <f t="shared" si="10"/>
        <v>4306215360.8800001</v>
      </c>
      <c r="E14" s="30">
        <f t="shared" si="10"/>
        <v>4665573853.0599995</v>
      </c>
      <c r="F14" s="30">
        <f t="shared" si="10"/>
        <v>5197134360.3099995</v>
      </c>
      <c r="G14" s="30">
        <f t="shared" si="10"/>
        <v>5251744699.4099998</v>
      </c>
      <c r="H14" s="30">
        <f t="shared" si="10"/>
        <v>5691223592.4099998</v>
      </c>
      <c r="I14" s="147">
        <f t="shared" si="10"/>
        <v>6035134624.6700001</v>
      </c>
      <c r="J14" s="147">
        <f t="shared" si="10"/>
        <v>5196473691.6400003</v>
      </c>
      <c r="K14" s="30">
        <f t="shared" si="10"/>
        <v>5340147275.3500004</v>
      </c>
      <c r="L14" s="30">
        <f t="shared" si="10"/>
        <v>5285885240.3900003</v>
      </c>
      <c r="M14" s="30">
        <f t="shared" si="10"/>
        <v>5257934538.21</v>
      </c>
      <c r="N14" s="30">
        <f t="shared" si="10"/>
        <v>5211054775.0200005</v>
      </c>
      <c r="O14" s="29">
        <f t="shared" si="10"/>
        <v>5443027707.5100002</v>
      </c>
      <c r="P14" s="29">
        <f t="shared" si="10"/>
        <v>5558720394.0100002</v>
      </c>
      <c r="Q14" s="31">
        <f t="shared" si="10"/>
        <v>6031790868.29</v>
      </c>
      <c r="R14" s="30">
        <f>R4+R6+R8+R10+R12</f>
        <v>6603908970.8600006</v>
      </c>
      <c r="S14" s="30">
        <f>S4+S6+S8+S10+S12</f>
        <v>7259909173.1899996</v>
      </c>
      <c r="T14" s="30">
        <f>T4+T6+T8+T10+T12</f>
        <v>7846036640.2800007</v>
      </c>
      <c r="U14" s="1"/>
    </row>
    <row r="15" spans="1:21" ht="20.100000000000001" customHeight="1" thickBot="1" x14ac:dyDescent="0.3">
      <c r="A15" s="212"/>
      <c r="B15" s="32" t="s">
        <v>25</v>
      </c>
      <c r="C15" s="148" t="s">
        <v>3</v>
      </c>
      <c r="D15" s="204">
        <f t="shared" ref="D15:I15" si="11">(D14-C14)/C14</f>
        <v>7.3342890679089293E-2</v>
      </c>
      <c r="E15" s="204">
        <f t="shared" si="11"/>
        <v>8.3451119385390501E-2</v>
      </c>
      <c r="F15" s="204">
        <f t="shared" si="11"/>
        <v>0.11393250305133774</v>
      </c>
      <c r="G15" s="204">
        <f t="shared" si="11"/>
        <v>1.0507778963163648E-2</v>
      </c>
      <c r="H15" s="204">
        <f t="shared" si="11"/>
        <v>8.3682455670279002E-2</v>
      </c>
      <c r="I15" s="204">
        <f t="shared" si="11"/>
        <v>6.0428311535440482E-2</v>
      </c>
      <c r="J15" s="204">
        <f>(J14-I14)/I14</f>
        <v>-0.13896308619227488</v>
      </c>
      <c r="K15" s="205">
        <f t="shared" ref="K15:T15" si="12">(K14-J14)/J14</f>
        <v>2.7648284632161169E-2</v>
      </c>
      <c r="L15" s="205">
        <f t="shared" si="12"/>
        <v>-1.0161149526806568E-2</v>
      </c>
      <c r="M15" s="205">
        <f t="shared" si="12"/>
        <v>-5.287799660580233E-3</v>
      </c>
      <c r="N15" s="205">
        <f t="shared" si="12"/>
        <v>-8.9160035845480927E-3</v>
      </c>
      <c r="O15" s="206">
        <f t="shared" si="12"/>
        <v>4.4515542918872782E-2</v>
      </c>
      <c r="P15" s="207">
        <f t="shared" si="12"/>
        <v>2.1255208078469524E-2</v>
      </c>
      <c r="Q15" s="204">
        <f t="shared" si="12"/>
        <v>8.510420398006957E-2</v>
      </c>
      <c r="R15" s="207">
        <f t="shared" si="12"/>
        <v>9.4850454046361013E-2</v>
      </c>
      <c r="S15" s="207">
        <f t="shared" si="12"/>
        <v>9.9335136996076837E-2</v>
      </c>
      <c r="T15" s="207">
        <f t="shared" si="12"/>
        <v>8.073482093336673E-2</v>
      </c>
      <c r="U15" s="1"/>
    </row>
    <row r="16" spans="1:21" thickTop="1" x14ac:dyDescent="0.3"/>
    <row r="17" spans="3:13" ht="14.45" x14ac:dyDescent="0.3"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3:13" ht="14.45" x14ac:dyDescent="0.3"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</sheetData>
  <mergeCells count="7">
    <mergeCell ref="A14:A15"/>
    <mergeCell ref="A1:S1"/>
    <mergeCell ref="A4:A5"/>
    <mergeCell ref="A6:A7"/>
    <mergeCell ref="A8:A9"/>
    <mergeCell ref="A10:A11"/>
    <mergeCell ref="A12:A1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5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N48"/>
  <sheetViews>
    <sheetView showGridLines="0" topLeftCell="A16" zoomScale="130" zoomScaleNormal="130" zoomScaleSheetLayoutView="130" workbookViewId="0">
      <selection sqref="A1:M1"/>
    </sheetView>
  </sheetViews>
  <sheetFormatPr defaultColWidth="9.140625" defaultRowHeight="12.75" x14ac:dyDescent="0.2"/>
  <cols>
    <col min="1" max="1" width="8.7109375" style="35" customWidth="1"/>
    <col min="2" max="13" width="12.7109375" style="35" customWidth="1"/>
    <col min="14" max="14" width="10.85546875" style="35" customWidth="1"/>
    <col min="15" max="15" width="9.7109375" style="35" customWidth="1"/>
    <col min="16" max="16" width="12.42578125" style="35" customWidth="1"/>
    <col min="17" max="18" width="9.7109375" style="35" customWidth="1"/>
    <col min="19" max="19" width="11" style="35" customWidth="1"/>
    <col min="20" max="16384" width="9.140625" style="35"/>
  </cols>
  <sheetData>
    <row r="1" spans="1:14" ht="20.25" x14ac:dyDescent="0.3">
      <c r="A1" s="227" t="s">
        <v>77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4" ht="20.45" x14ac:dyDescent="0.35">
      <c r="A2" s="229" t="s">
        <v>78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</row>
    <row r="3" spans="1:14" ht="13.5" customHeight="1" thickBot="1" x14ac:dyDescent="0.25">
      <c r="B3" s="36"/>
      <c r="C3" s="37"/>
      <c r="D3" s="38"/>
      <c r="E3" s="38"/>
      <c r="F3" s="38"/>
      <c r="G3" s="39"/>
      <c r="H3" s="39"/>
      <c r="I3" s="39"/>
      <c r="J3" s="39"/>
      <c r="K3" s="40"/>
      <c r="L3" s="40"/>
      <c r="M3" s="41" t="s">
        <v>31</v>
      </c>
      <c r="N3" s="42"/>
    </row>
    <row r="4" spans="1:14" ht="13.5" customHeight="1" x14ac:dyDescent="0.2">
      <c r="A4" s="231" t="s">
        <v>32</v>
      </c>
      <c r="B4" s="234" t="s">
        <v>33</v>
      </c>
      <c r="C4" s="235"/>
      <c r="D4" s="236"/>
      <c r="E4" s="240" t="s">
        <v>34</v>
      </c>
      <c r="F4" s="235"/>
      <c r="G4" s="236"/>
      <c r="H4" s="241" t="s">
        <v>35</v>
      </c>
      <c r="I4" s="235"/>
      <c r="J4" s="236"/>
      <c r="K4" s="242" t="s">
        <v>36</v>
      </c>
      <c r="L4" s="235"/>
      <c r="M4" s="236"/>
      <c r="N4" s="42"/>
    </row>
    <row r="5" spans="1:14" ht="13.5" customHeight="1" thickBot="1" x14ac:dyDescent="0.25">
      <c r="A5" s="232"/>
      <c r="B5" s="237"/>
      <c r="C5" s="238"/>
      <c r="D5" s="239"/>
      <c r="E5" s="237"/>
      <c r="F5" s="238"/>
      <c r="G5" s="239"/>
      <c r="H5" s="237"/>
      <c r="I5" s="238"/>
      <c r="J5" s="239"/>
      <c r="K5" s="237"/>
      <c r="L5" s="238"/>
      <c r="M5" s="239"/>
      <c r="N5" s="40"/>
    </row>
    <row r="6" spans="1:14" ht="12.75" customHeight="1" x14ac:dyDescent="0.2">
      <c r="A6" s="232"/>
      <c r="B6" s="243" t="s">
        <v>37</v>
      </c>
      <c r="C6" s="223" t="s">
        <v>38</v>
      </c>
      <c r="D6" s="225" t="s">
        <v>39</v>
      </c>
      <c r="E6" s="243" t="s">
        <v>40</v>
      </c>
      <c r="F6" s="223" t="s">
        <v>38</v>
      </c>
      <c r="G6" s="225" t="s">
        <v>39</v>
      </c>
      <c r="H6" s="243" t="s">
        <v>41</v>
      </c>
      <c r="I6" s="223" t="s">
        <v>38</v>
      </c>
      <c r="J6" s="225" t="s">
        <v>39</v>
      </c>
      <c r="K6" s="243" t="s">
        <v>42</v>
      </c>
      <c r="L6" s="223" t="s">
        <v>38</v>
      </c>
      <c r="M6" s="225" t="s">
        <v>39</v>
      </c>
    </row>
    <row r="7" spans="1:14" ht="13.5" thickBot="1" x14ac:dyDescent="0.25">
      <c r="A7" s="233"/>
      <c r="B7" s="244"/>
      <c r="C7" s="224"/>
      <c r="D7" s="226"/>
      <c r="E7" s="244"/>
      <c r="F7" s="224"/>
      <c r="G7" s="226"/>
      <c r="H7" s="244"/>
      <c r="I7" s="224"/>
      <c r="J7" s="226"/>
      <c r="K7" s="244"/>
      <c r="L7" s="224"/>
      <c r="M7" s="226"/>
    </row>
    <row r="8" spans="1:14" ht="14.1" customHeight="1" x14ac:dyDescent="0.25">
      <c r="A8" s="149" t="s">
        <v>43</v>
      </c>
      <c r="B8" s="47">
        <f>71605997.24+101329266.98</f>
        <v>172935264.22</v>
      </c>
      <c r="C8" s="150">
        <f>C20/12</f>
        <v>157645583.33333334</v>
      </c>
      <c r="D8" s="46">
        <f>B8-C8</f>
        <v>15289680.886666656</v>
      </c>
      <c r="E8" s="151">
        <f>4894422.38+6926071.15</f>
        <v>11820493.530000001</v>
      </c>
      <c r="F8" s="150">
        <f>F20/12</f>
        <v>10774166.666666666</v>
      </c>
      <c r="G8" s="46">
        <f>E8-F8</f>
        <v>1046326.8633333351</v>
      </c>
      <c r="H8" s="151">
        <f>3968369.06+830945.06</f>
        <v>4799314.12</v>
      </c>
      <c r="I8" s="150">
        <f>I20/12</f>
        <v>3243166.6666666665</v>
      </c>
      <c r="J8" s="152">
        <f>H8-I8</f>
        <v>1556147.4533333336</v>
      </c>
      <c r="K8" s="151">
        <f>8822763.75+4916547.55</f>
        <v>13739311.300000001</v>
      </c>
      <c r="L8" s="150">
        <f>L20/12</f>
        <v>13986750</v>
      </c>
      <c r="M8" s="152">
        <f>K8-L8</f>
        <v>-247438.69999999925</v>
      </c>
    </row>
    <row r="9" spans="1:14" ht="14.1" customHeight="1" x14ac:dyDescent="0.2">
      <c r="A9" s="43" t="s">
        <v>44</v>
      </c>
      <c r="B9" s="44">
        <f>65744580.69+96997598.06</f>
        <v>162742178.75</v>
      </c>
      <c r="C9" s="45">
        <f>C8*2</f>
        <v>315291166.66666669</v>
      </c>
      <c r="D9" s="46">
        <f>SUM(B8+B9)-C9</f>
        <v>20386276.303333342</v>
      </c>
      <c r="E9" s="47">
        <f>4493782.07+6629992.4</f>
        <v>11123774.470000001</v>
      </c>
      <c r="F9" s="45">
        <f>F8*2</f>
        <v>21548333.333333332</v>
      </c>
      <c r="G9" s="46">
        <f>SUM(E8+E9)-F9</f>
        <v>1395934.6666666679</v>
      </c>
      <c r="H9" s="47">
        <f>1398316.3+1175936.36</f>
        <v>2574252.66</v>
      </c>
      <c r="I9" s="45">
        <f>I8*2</f>
        <v>6486333.333333333</v>
      </c>
      <c r="J9" s="46">
        <f>SUM(H8+H9)-I9</f>
        <v>887233.44666666724</v>
      </c>
      <c r="K9" s="44">
        <f>11423499.74+4384097.03</f>
        <v>15807596.77</v>
      </c>
      <c r="L9" s="45">
        <f>L8*2</f>
        <v>27973500</v>
      </c>
      <c r="M9" s="46">
        <f>SUM(K8+K9)-L9</f>
        <v>1573408.0700000003</v>
      </c>
    </row>
    <row r="10" spans="1:14" ht="14.1" customHeight="1" x14ac:dyDescent="0.2">
      <c r="A10" s="153" t="s">
        <v>45</v>
      </c>
      <c r="B10" s="154">
        <f>56455013.72+80995880.15</f>
        <v>137450893.87</v>
      </c>
      <c r="C10" s="155">
        <f>C8*3</f>
        <v>472936750</v>
      </c>
      <c r="D10" s="156">
        <f>SUM(B8+B9+B10)-C10</f>
        <v>191586.84000003338</v>
      </c>
      <c r="E10" s="157">
        <f>3858820.38+5536240.88</f>
        <v>9395061.2599999998</v>
      </c>
      <c r="F10" s="158">
        <f>F8*3</f>
        <v>32322500</v>
      </c>
      <c r="G10" s="156">
        <f>SUM(E8+E9+E10)-F10</f>
        <v>16829.259999997914</v>
      </c>
      <c r="H10" s="157">
        <f>2281145.83+3267947.7</f>
        <v>5549093.5300000003</v>
      </c>
      <c r="I10" s="158">
        <f>I8*3</f>
        <v>9729500</v>
      </c>
      <c r="J10" s="156">
        <f>SUM(H8+H9+H10)-I10</f>
        <v>3193160.3100000005</v>
      </c>
      <c r="K10" s="154">
        <f>4322578.77+5483337.8</f>
        <v>9805916.5700000003</v>
      </c>
      <c r="L10" s="158">
        <f>L8*3</f>
        <v>41960250</v>
      </c>
      <c r="M10" s="156">
        <f>SUM(K8+K9+K10)-L10</f>
        <v>-2607425.3599999994</v>
      </c>
    </row>
    <row r="11" spans="1:14" ht="14.1" customHeight="1" x14ac:dyDescent="0.25">
      <c r="A11" s="153" t="s">
        <v>46</v>
      </c>
      <c r="B11" s="154">
        <f>48070126.83+77156595.18</f>
        <v>125226722.01000001</v>
      </c>
      <c r="C11" s="155">
        <f>C8*4</f>
        <v>630582333.33333337</v>
      </c>
      <c r="D11" s="156">
        <f>SUM(B8+B9+B10+B11)-C11</f>
        <v>-32227274.483333349</v>
      </c>
      <c r="E11" s="157">
        <f>3285695.53+5273817.57</f>
        <v>8559513.0999999996</v>
      </c>
      <c r="F11" s="155">
        <f>F8*4</f>
        <v>43096666.666666664</v>
      </c>
      <c r="G11" s="156">
        <f>SUM(E8+E9+E10+E11)-F11</f>
        <v>-2197824.3066666648</v>
      </c>
      <c r="H11" s="157">
        <v>0</v>
      </c>
      <c r="I11" s="155">
        <f>I8*4</f>
        <v>12972666.666666666</v>
      </c>
      <c r="J11" s="156">
        <f>SUM(H8+H9+H10+H11)-I11</f>
        <v>-50006.356666665524</v>
      </c>
      <c r="K11" s="154">
        <f>5426080.32+6110250.12</f>
        <v>11536330.440000001</v>
      </c>
      <c r="L11" s="155">
        <f>L8*4</f>
        <v>55947000</v>
      </c>
      <c r="M11" s="156">
        <f>SUM(K8+K9+K10+K11)-L11</f>
        <v>-5057844.9200000018</v>
      </c>
    </row>
    <row r="12" spans="1:14" ht="14.1" customHeight="1" x14ac:dyDescent="0.2">
      <c r="A12" s="153" t="s">
        <v>47</v>
      </c>
      <c r="B12" s="154">
        <f>48146073.65+104949191.77</f>
        <v>153095265.41999999</v>
      </c>
      <c r="C12" s="155">
        <f>C8*5</f>
        <v>788227916.66666675</v>
      </c>
      <c r="D12" s="156">
        <f>SUM(B8+B9+B10+B11+B12)-C12</f>
        <v>-36777592.396666765</v>
      </c>
      <c r="E12" s="157">
        <f>3290886.64+7173500.72</f>
        <v>10464387.359999999</v>
      </c>
      <c r="F12" s="155">
        <f>F8*5</f>
        <v>53870833.333333328</v>
      </c>
      <c r="G12" s="156">
        <f>SUM(E8+E9+E10+E11+E12)-F12</f>
        <v>-2507603.6133333296</v>
      </c>
      <c r="H12" s="157">
        <v>0</v>
      </c>
      <c r="I12" s="155">
        <f>I8*5</f>
        <v>16215833.333333332</v>
      </c>
      <c r="J12" s="156">
        <f>SUM(H8+H9+H10+H11+H12)-I12</f>
        <v>-3293173.0233333316</v>
      </c>
      <c r="K12" s="154">
        <f>7594227.23+5756348.65</f>
        <v>13350575.880000001</v>
      </c>
      <c r="L12" s="155">
        <f>L8*5</f>
        <v>69933750</v>
      </c>
      <c r="M12" s="156">
        <f>SUM(K8+K9+K10+K11+K12)-L12</f>
        <v>-5694019.0399999991</v>
      </c>
    </row>
    <row r="13" spans="1:14" ht="14.1" customHeight="1" x14ac:dyDescent="0.2">
      <c r="A13" s="153" t="s">
        <v>48</v>
      </c>
      <c r="B13" s="154">
        <f>66523906.41+102548362.59</f>
        <v>169072269</v>
      </c>
      <c r="C13" s="155">
        <f>C8*6</f>
        <v>945873500</v>
      </c>
      <c r="D13" s="156">
        <f>SUM(B8+B9+B10+B11+B12+B13)-C13</f>
        <v>-25350906.730000019</v>
      </c>
      <c r="E13" s="157">
        <f>4547050.68+7009398.94</f>
        <v>11556449.620000001</v>
      </c>
      <c r="F13" s="155">
        <f>F8*6</f>
        <v>64645000</v>
      </c>
      <c r="G13" s="156">
        <f>SUM(E8+E9+E10+E11+E12+E13)-F13</f>
        <v>-1725320.6599999964</v>
      </c>
      <c r="H13" s="157">
        <v>0</v>
      </c>
      <c r="I13" s="155">
        <f>I8*6</f>
        <v>19459000</v>
      </c>
      <c r="J13" s="156">
        <f>SUM(H8+H9+H10+H11+H12+H13)-I13</f>
        <v>-6536339.6899999995</v>
      </c>
      <c r="K13" s="154">
        <f>9124545.13+6651990.17</f>
        <v>15776535.300000001</v>
      </c>
      <c r="L13" s="155">
        <f>L8*6</f>
        <v>83920500</v>
      </c>
      <c r="M13" s="156">
        <f>SUM(K8+K9+K10+K11+K12+K13)-L13</f>
        <v>-3904233.7399999946</v>
      </c>
    </row>
    <row r="14" spans="1:14" ht="14.1" customHeight="1" x14ac:dyDescent="0.2">
      <c r="A14" s="153" t="s">
        <v>49</v>
      </c>
      <c r="B14" s="154">
        <f>69530573.25+104924651.98</f>
        <v>174455225.23000002</v>
      </c>
      <c r="C14" s="155">
        <f>C8*7</f>
        <v>1103519083.3333335</v>
      </c>
      <c r="D14" s="156">
        <f>SUM(B8+B9+B10+B11+B12+B13+B14)-C14</f>
        <v>-8541264.8333334923</v>
      </c>
      <c r="E14" s="157">
        <f>4752562.7+7171823.42</f>
        <v>11924386.120000001</v>
      </c>
      <c r="F14" s="155">
        <f>F8*7</f>
        <v>75419166.666666657</v>
      </c>
      <c r="G14" s="156">
        <f>SUM(E8+E9+E10+E11+E12+E13+E14)-F14</f>
        <v>-575101.20666664839</v>
      </c>
      <c r="H14" s="157">
        <f>1953079.43+8948708.87</f>
        <v>10901788.299999999</v>
      </c>
      <c r="I14" s="155">
        <f>I8*7</f>
        <v>22702166.666666664</v>
      </c>
      <c r="J14" s="156">
        <f>SUM(H8+H9+H10+H11+H12+H13+H14)-I14</f>
        <v>1122281.9433333352</v>
      </c>
      <c r="K14" s="154">
        <f>10140215.57+9799690.18</f>
        <v>19939905.75</v>
      </c>
      <c r="L14" s="155">
        <f>L8*7</f>
        <v>97907250</v>
      </c>
      <c r="M14" s="156">
        <f>SUM(K8+K9+K10+K11+K12+K13+K14)-L14</f>
        <v>2048922.0100000054</v>
      </c>
    </row>
    <row r="15" spans="1:14" ht="14.1" customHeight="1" x14ac:dyDescent="0.25">
      <c r="A15" s="153" t="s">
        <v>50</v>
      </c>
      <c r="B15" s="154">
        <f>64004109.34+107536136.6</f>
        <v>171540245.94</v>
      </c>
      <c r="C15" s="155">
        <f>C8*8</f>
        <v>1261164666.6666667</v>
      </c>
      <c r="D15" s="156">
        <f>SUM(B8+B9+B10+B11+B12+B13+B14+B15)-C15</f>
        <v>5353397.7733333111</v>
      </c>
      <c r="E15" s="157">
        <f>4374817.14+7350323.91</f>
        <v>11725141.050000001</v>
      </c>
      <c r="F15" s="155">
        <f>F8*8</f>
        <v>86193333.333333328</v>
      </c>
      <c r="G15" s="156">
        <f>SUM(E8+E9+E10+E11+E12+E13+E14+E15)-F15</f>
        <v>375873.176666677</v>
      </c>
      <c r="H15" s="157">
        <v>0</v>
      </c>
      <c r="I15" s="155">
        <f>I8*8</f>
        <v>25945333.333333332</v>
      </c>
      <c r="J15" s="156">
        <f>SUM(H8+H9+H10+H11+H12+H13+H14+H15)-I15</f>
        <v>-2120884.7233333327</v>
      </c>
      <c r="K15" s="154">
        <f>12186199.55+6377427.62</f>
        <v>18563627.170000002</v>
      </c>
      <c r="L15" s="155">
        <f>L8*8</f>
        <v>111894000</v>
      </c>
      <c r="M15" s="156">
        <f>SUM(K8+K9+K10+K11+K12+K13+K14+K15)-L15</f>
        <v>6625799.1800000072</v>
      </c>
    </row>
    <row r="16" spans="1:14" ht="14.1" customHeight="1" x14ac:dyDescent="0.2">
      <c r="A16" s="153" t="s">
        <v>51</v>
      </c>
      <c r="B16" s="154">
        <f>62103545.61+78822821.95</f>
        <v>140926367.56</v>
      </c>
      <c r="C16" s="155">
        <f>C8*9</f>
        <v>1418810250</v>
      </c>
      <c r="D16" s="156">
        <f>SUM(B8+B9+B10+B11+B12+B13+B14+B15+B16)-C16</f>
        <v>-11365818</v>
      </c>
      <c r="E16" s="157">
        <f>4244909.58+5258973.73</f>
        <v>9503883.3100000005</v>
      </c>
      <c r="F16" s="155">
        <f>F8*9</f>
        <v>96967500</v>
      </c>
      <c r="G16" s="156">
        <f>SUM(E8+E9+E10+E11+E12+E13+E14+E15+E16)-F16</f>
        <v>-894410.17999999225</v>
      </c>
      <c r="H16" s="157">
        <f>6822741.69</f>
        <v>6822741.6900000004</v>
      </c>
      <c r="I16" s="155">
        <f>I8*9</f>
        <v>29188500</v>
      </c>
      <c r="J16" s="156">
        <f>SUM(H8+H9+H10+H11+H12+H13+H14+H15+H16)-I16</f>
        <v>1458690.3000000007</v>
      </c>
      <c r="K16" s="154">
        <f>9979211.57+7945575.82</f>
        <v>17924787.390000001</v>
      </c>
      <c r="L16" s="155">
        <f>L8*9</f>
        <v>125880750</v>
      </c>
      <c r="M16" s="156">
        <f>SUM(K8+K9+K10+K11+K12+K13+K14+K15+K16)-L16</f>
        <v>10563836.569999993</v>
      </c>
    </row>
    <row r="17" spans="1:13" ht="14.1" customHeight="1" x14ac:dyDescent="0.2">
      <c r="A17" s="153" t="s">
        <v>52</v>
      </c>
      <c r="B17" s="154">
        <f>66475821.13+98395049.42</f>
        <v>164870870.55000001</v>
      </c>
      <c r="C17" s="155">
        <f>C8*10</f>
        <v>1576455833.3333335</v>
      </c>
      <c r="D17" s="156">
        <f>SUM(B8+B9+B10+B11+B12+B13+B14+B15+B16+B17)-C17</f>
        <v>-4140530.78333354</v>
      </c>
      <c r="E17" s="157">
        <f>4537357.72+6716028.84</f>
        <v>11253386.559999999</v>
      </c>
      <c r="F17" s="155">
        <f>F8*10</f>
        <v>107741666.66666666</v>
      </c>
      <c r="G17" s="156">
        <f>SUM(E8+E9+E10+E11+E12+E13+E14+E15+E16+E17)-F17</f>
        <v>-415190.2866666466</v>
      </c>
      <c r="H17" s="157">
        <f>3883353.98+1016038.59</f>
        <v>4899392.57</v>
      </c>
      <c r="I17" s="155">
        <f>I8*10</f>
        <v>32431666.666666664</v>
      </c>
      <c r="J17" s="156">
        <f>SUM(H8+H9+H10+H11+H12+H13+H14+H15+H16+H17)-I17</f>
        <v>3114916.2033333406</v>
      </c>
      <c r="K17" s="154">
        <f>11047571+6412975.59</f>
        <v>17460546.59</v>
      </c>
      <c r="L17" s="155">
        <f>L8*10</f>
        <v>139867500</v>
      </c>
      <c r="M17" s="156">
        <f>SUM(K8+K9+K10+K11+K12+K13+K14+K15+K16+K17)-L17</f>
        <v>14037633.159999996</v>
      </c>
    </row>
    <row r="18" spans="1:13" ht="14.1" customHeight="1" x14ac:dyDescent="0.25">
      <c r="A18" s="153" t="s">
        <v>53</v>
      </c>
      <c r="B18" s="154">
        <f>61370335.66+106681104.35</f>
        <v>168051440.00999999</v>
      </c>
      <c r="C18" s="155">
        <f>C8*11</f>
        <v>1734101416.6666667</v>
      </c>
      <c r="D18" s="156">
        <f>SUM(B8+B9+B10+B11+B12+B13+B14+B15+B16+B17+B18)-C18</f>
        <v>6265325.8933331966</v>
      </c>
      <c r="E18" s="157">
        <f>4188878.92+7281599.81</f>
        <v>11470478.73</v>
      </c>
      <c r="F18" s="155">
        <f>F8*11</f>
        <v>118515833.33333333</v>
      </c>
      <c r="G18" s="156">
        <f>SUM(E8+E9+E10+E11+E12+E13+E14+E15+E16+E17+E18)-F18</f>
        <v>281121.77666668594</v>
      </c>
      <c r="H18" s="157">
        <f>1334207.93+844844.33</f>
        <v>2179052.2599999998</v>
      </c>
      <c r="I18" s="155">
        <f>I8*11</f>
        <v>35674833.333333328</v>
      </c>
      <c r="J18" s="156">
        <f>SUM(H8+H9+H10+H11+H12+H13+H14+H15+H16+H17+H18)-I18</f>
        <v>2050801.7966666743</v>
      </c>
      <c r="K18" s="154">
        <f>9120336.79+6017945.92</f>
        <v>15138282.709999999</v>
      </c>
      <c r="L18" s="155">
        <f>L8*11</f>
        <v>153854250</v>
      </c>
      <c r="M18" s="156">
        <f>SUM(K8+K9+K10+K11+K12+K13+K14+K15+K16+K17+K18)-L18</f>
        <v>15189165.870000005</v>
      </c>
    </row>
    <row r="19" spans="1:13" ht="14.1" customHeight="1" thickBot="1" x14ac:dyDescent="0.3">
      <c r="A19" s="159" t="s">
        <v>54</v>
      </c>
      <c r="B19" s="160">
        <f>60630552.23+132182730.72</f>
        <v>192813282.94999999</v>
      </c>
      <c r="C19" s="161">
        <f>C8*12</f>
        <v>1891747000</v>
      </c>
      <c r="D19" s="156">
        <f>SUM(B8+B9+B10+B11+B12+B13+B14+B15+B16+B17+B18+B19)-C19</f>
        <v>41433025.50999999</v>
      </c>
      <c r="E19" s="162">
        <f>4138384.43+9022232.75</f>
        <v>13160617.18</v>
      </c>
      <c r="F19" s="161">
        <f>F8*12</f>
        <v>129290000</v>
      </c>
      <c r="G19" s="156">
        <f>SUM(E8+E9+E10+E11+E12+E13+E14+E15+E16+E17+E18+E19)-F19</f>
        <v>2667572.2900000215</v>
      </c>
      <c r="H19" s="162">
        <f>1031942.53+15519190.19</f>
        <v>16551132.719999999</v>
      </c>
      <c r="I19" s="161">
        <f>I8*12</f>
        <v>38918000</v>
      </c>
      <c r="J19" s="156">
        <f>SUM(H8+H9+H10+H11+H12+H13+H14+H15+H16+H17+H18+H19)-I19</f>
        <v>15358767.850000001</v>
      </c>
      <c r="K19" s="163">
        <f>6530751.09+7467339.56</f>
        <v>13998090.649999999</v>
      </c>
      <c r="L19" s="161">
        <f>L8*12</f>
        <v>167841000</v>
      </c>
      <c r="M19" s="156">
        <f>SUM(K8+K9+K10+K11+K12+K13+K14+K15+K16+K17+K18+K19)-L19</f>
        <v>15200506.520000011</v>
      </c>
    </row>
    <row r="20" spans="1:13" ht="15" customHeight="1" thickBot="1" x14ac:dyDescent="0.3">
      <c r="A20" s="49" t="s">
        <v>21</v>
      </c>
      <c r="B20" s="50">
        <f>SUM(B8:B19)</f>
        <v>1933180025.51</v>
      </c>
      <c r="C20" s="51">
        <v>1891747000</v>
      </c>
      <c r="D20" s="52"/>
      <c r="E20" s="50">
        <f>SUM(E8:E19)</f>
        <v>131957572.29000002</v>
      </c>
      <c r="F20" s="51">
        <v>129290000</v>
      </c>
      <c r="G20" s="53"/>
      <c r="H20" s="50">
        <f>SUM(H8:H19)</f>
        <v>54276767.850000001</v>
      </c>
      <c r="I20" s="51">
        <v>38918000</v>
      </c>
      <c r="J20" s="53"/>
      <c r="K20" s="50">
        <f>SUM(K8:K19)</f>
        <v>183041506.52000001</v>
      </c>
      <c r="L20" s="51">
        <v>167841000</v>
      </c>
      <c r="M20" s="54"/>
    </row>
    <row r="21" spans="1:13" ht="15.75" customHeight="1" x14ac:dyDescent="0.25">
      <c r="A21" s="40"/>
      <c r="B21" s="42"/>
      <c r="C21" s="42"/>
      <c r="D21" s="42"/>
      <c r="E21" s="42"/>
      <c r="F21" s="42"/>
      <c r="G21" s="42"/>
      <c r="H21" s="40"/>
      <c r="I21" s="42"/>
      <c r="J21" s="40"/>
      <c r="K21" s="40"/>
      <c r="L21" s="42"/>
      <c r="M21" s="40"/>
    </row>
    <row r="22" spans="1:13" ht="15.75" customHeight="1" x14ac:dyDescent="0.25">
      <c r="A22" s="40"/>
      <c r="B22" s="42"/>
      <c r="C22" s="55"/>
      <c r="D22" s="56"/>
      <c r="E22" s="57"/>
      <c r="F22" s="42"/>
      <c r="G22" s="42"/>
      <c r="H22" s="40"/>
      <c r="I22" s="42"/>
      <c r="J22" s="58"/>
      <c r="K22" s="40"/>
      <c r="L22" s="42"/>
      <c r="M22" s="40"/>
    </row>
    <row r="23" spans="1:13" ht="15.75" customHeight="1" thickBot="1" x14ac:dyDescent="0.25">
      <c r="A23" s="59"/>
      <c r="B23" s="42"/>
      <c r="C23" s="60"/>
      <c r="D23" s="42"/>
      <c r="E23" s="61"/>
      <c r="F23" s="42"/>
      <c r="G23" s="42"/>
      <c r="J23" s="62" t="s">
        <v>31</v>
      </c>
    </row>
    <row r="24" spans="1:13" ht="12.75" customHeight="1" x14ac:dyDescent="0.2">
      <c r="A24" s="231" t="s">
        <v>32</v>
      </c>
      <c r="B24" s="255" t="s">
        <v>55</v>
      </c>
      <c r="C24" s="256"/>
      <c r="D24" s="257"/>
      <c r="E24" s="261" t="s">
        <v>56</v>
      </c>
      <c r="F24" s="256"/>
      <c r="G24" s="257"/>
      <c r="H24" s="262" t="s">
        <v>57</v>
      </c>
      <c r="I24" s="256"/>
      <c r="J24" s="257"/>
      <c r="K24" s="63"/>
    </row>
    <row r="25" spans="1:13" ht="13.5" thickBot="1" x14ac:dyDescent="0.25">
      <c r="A25" s="253"/>
      <c r="B25" s="258"/>
      <c r="C25" s="259"/>
      <c r="D25" s="260"/>
      <c r="E25" s="258"/>
      <c r="F25" s="259"/>
      <c r="G25" s="260"/>
      <c r="H25" s="258"/>
      <c r="I25" s="259"/>
      <c r="J25" s="260"/>
      <c r="K25" s="63"/>
    </row>
    <row r="26" spans="1:13" ht="12.75" customHeight="1" x14ac:dyDescent="0.2">
      <c r="A26" s="253"/>
      <c r="B26" s="249" t="s">
        <v>58</v>
      </c>
      <c r="C26" s="223" t="s">
        <v>38</v>
      </c>
      <c r="D26" s="225" t="s">
        <v>39</v>
      </c>
      <c r="E26" s="249" t="s">
        <v>59</v>
      </c>
      <c r="F26" s="223" t="s">
        <v>38</v>
      </c>
      <c r="G26" s="225" t="s">
        <v>39</v>
      </c>
      <c r="H26" s="252" t="s">
        <v>21</v>
      </c>
      <c r="I26" s="223" t="s">
        <v>38</v>
      </c>
      <c r="J26" s="225" t="s">
        <v>39</v>
      </c>
      <c r="K26" s="245" t="s">
        <v>79</v>
      </c>
    </row>
    <row r="27" spans="1:13" ht="13.5" thickBot="1" x14ac:dyDescent="0.25">
      <c r="A27" s="254"/>
      <c r="B27" s="250"/>
      <c r="C27" s="224"/>
      <c r="D27" s="226"/>
      <c r="E27" s="250"/>
      <c r="F27" s="251"/>
      <c r="G27" s="226"/>
      <c r="H27" s="244"/>
      <c r="I27" s="224"/>
      <c r="J27" s="226"/>
      <c r="K27" s="246"/>
    </row>
    <row r="28" spans="1:13" ht="14.1" customHeight="1" x14ac:dyDescent="0.25">
      <c r="A28" s="164" t="s">
        <v>43</v>
      </c>
      <c r="B28" s="165">
        <f>103157844.05+3705625.4</f>
        <v>106863469.45</v>
      </c>
      <c r="C28" s="150">
        <f>C40/12</f>
        <v>136062583.33333334</v>
      </c>
      <c r="D28" s="152">
        <f>B28-C28</f>
        <v>-29199113.88333334</v>
      </c>
      <c r="E28" s="166">
        <f>297932194.59+35270116.05</f>
        <v>333202310.63999999</v>
      </c>
      <c r="F28" s="167">
        <f>F40/12</f>
        <v>324587583.33333331</v>
      </c>
      <c r="G28" s="168">
        <f>E28-F28</f>
        <v>8614727.3066666722</v>
      </c>
      <c r="H28" s="169">
        <f t="shared" ref="H28:H40" si="0">$B8+$E8+$H8+$K8+$B28+$E28</f>
        <v>643360163.25999999</v>
      </c>
      <c r="I28" s="167">
        <f>I40/12</f>
        <v>646299833.33333337</v>
      </c>
      <c r="J28" s="170">
        <f>H28-I28</f>
        <v>-2939670.0733333826</v>
      </c>
      <c r="K28" s="171">
        <f>J28/I40</f>
        <v>-3.7903847947423045E-4</v>
      </c>
    </row>
    <row r="29" spans="1:13" ht="14.1" customHeight="1" x14ac:dyDescent="0.2">
      <c r="A29" s="64" t="s">
        <v>44</v>
      </c>
      <c r="B29" s="65">
        <f>4082865.34+6037077.15</f>
        <v>10119942.49</v>
      </c>
      <c r="C29" s="45">
        <f>C28*2</f>
        <v>272125166.66666669</v>
      </c>
      <c r="D29" s="46">
        <f>SUM(B28+B29)-C29</f>
        <v>-155141754.72666669</v>
      </c>
      <c r="E29" s="66">
        <f>369687922.62+24091063.99</f>
        <v>393778986.61000001</v>
      </c>
      <c r="F29" s="48">
        <f>F28*2</f>
        <v>649175166.66666663</v>
      </c>
      <c r="G29" s="46">
        <f>SUM(E28+E29)-F29</f>
        <v>77806130.583333373</v>
      </c>
      <c r="H29" s="67">
        <f t="shared" si="0"/>
        <v>596146731.75</v>
      </c>
      <c r="I29" s="48">
        <f>I28*2</f>
        <v>1292599666.6666667</v>
      </c>
      <c r="J29" s="46">
        <f>SUM(H28+H29)-I29</f>
        <v>-53092771.656666756</v>
      </c>
      <c r="K29" s="68">
        <f>J29/I40</f>
        <v>-6.8457353845140963E-3</v>
      </c>
    </row>
    <row r="30" spans="1:13" ht="14.1" customHeight="1" x14ac:dyDescent="0.2">
      <c r="A30" s="172" t="s">
        <v>45</v>
      </c>
      <c r="B30" s="173">
        <f>6498575.54+281953401.35</f>
        <v>288451976.89000005</v>
      </c>
      <c r="C30" s="158">
        <f>C28*3</f>
        <v>408187750</v>
      </c>
      <c r="D30" s="156">
        <f>SUM(B28+B29+B30)-C30</f>
        <v>-2752361.1699999571</v>
      </c>
      <c r="E30" s="174">
        <f>164152322.73+17222897.39</f>
        <v>181375220.12</v>
      </c>
      <c r="F30" s="158">
        <f>F28*3</f>
        <v>973762750</v>
      </c>
      <c r="G30" s="156">
        <f>SUM(E28+E29+E30)-F30</f>
        <v>-65406232.629999995</v>
      </c>
      <c r="H30" s="69">
        <f t="shared" si="0"/>
        <v>632028162.24000001</v>
      </c>
      <c r="I30" s="158">
        <f>I28*3</f>
        <v>1938899500</v>
      </c>
      <c r="J30" s="156">
        <f>SUM(H28+H29+H30)-I30</f>
        <v>-67364442.75</v>
      </c>
      <c r="K30" s="175">
        <f>J30/I40</f>
        <v>-8.6859121308247283E-3</v>
      </c>
    </row>
    <row r="31" spans="1:13" ht="14.1" customHeight="1" x14ac:dyDescent="0.25">
      <c r="A31" s="172" t="s">
        <v>46</v>
      </c>
      <c r="B31" s="176">
        <f>63621866.19+30438551.55</f>
        <v>94060417.739999995</v>
      </c>
      <c r="C31" s="155">
        <f>C28*4</f>
        <v>544250333.33333337</v>
      </c>
      <c r="D31" s="156">
        <f>SUM(B28+B29+B30+B31)-C31</f>
        <v>-44754526.763333321</v>
      </c>
      <c r="E31" s="177">
        <f>224217970.88+16208213.59</f>
        <v>240426184.47</v>
      </c>
      <c r="F31" s="155">
        <f>F28*4</f>
        <v>1298350333.3333333</v>
      </c>
      <c r="G31" s="156">
        <f>SUM(E28+E29+E30+E31)-F31</f>
        <v>-149567631.49333334</v>
      </c>
      <c r="H31" s="69">
        <f t="shared" si="0"/>
        <v>479809167.75999999</v>
      </c>
      <c r="I31" s="155">
        <f>I28*4</f>
        <v>2585199333.3333335</v>
      </c>
      <c r="J31" s="156">
        <f>SUM(H28+H29+H30+H31)-I31</f>
        <v>-233855108.32333326</v>
      </c>
      <c r="K31" s="175">
        <f>J31/I40</f>
        <v>-3.0153072441781184E-2</v>
      </c>
    </row>
    <row r="32" spans="1:13" ht="14.1" customHeight="1" x14ac:dyDescent="0.2">
      <c r="A32" s="172" t="s">
        <v>47</v>
      </c>
      <c r="B32" s="173">
        <f>436290.95+6327765.28</f>
        <v>6764056.2300000004</v>
      </c>
      <c r="C32" s="155">
        <f>C28*5</f>
        <v>680312916.66666675</v>
      </c>
      <c r="D32" s="156">
        <f>SUM(B28+B29+B30+B31+B32)-C32</f>
        <v>-174053053.86666667</v>
      </c>
      <c r="E32" s="177">
        <f>367729653.13+23679100.6</f>
        <v>391408753.73000002</v>
      </c>
      <c r="F32" s="155">
        <f>F28*5</f>
        <v>1622937916.6666665</v>
      </c>
      <c r="G32" s="156">
        <f>SUM(E28+E29+E30+E31+E32)-F32</f>
        <v>-82746461.096666574</v>
      </c>
      <c r="H32" s="69">
        <f t="shared" si="0"/>
        <v>575083038.62</v>
      </c>
      <c r="I32" s="155">
        <f>I28*5</f>
        <v>3231499166.666667</v>
      </c>
      <c r="J32" s="156">
        <f>SUM(H28+H29+H30+H31+H32)-I32</f>
        <v>-305071903.03666687</v>
      </c>
      <c r="K32" s="175">
        <f>J32/I40</f>
        <v>-3.9335703454029834E-2</v>
      </c>
    </row>
    <row r="33" spans="1:13" ht="14.1" customHeight="1" x14ac:dyDescent="0.2">
      <c r="A33" s="172" t="s">
        <v>48</v>
      </c>
      <c r="B33" s="176">
        <f>11438771.78+231960801.62</f>
        <v>243399573.40000001</v>
      </c>
      <c r="C33" s="155">
        <f>C28*6</f>
        <v>816375500</v>
      </c>
      <c r="D33" s="156">
        <f>SUM(B28+B29+B30+B31+B32+B33)-C33</f>
        <v>-66716063.799999952</v>
      </c>
      <c r="E33" s="177">
        <f>269432657.31+16282167.57</f>
        <v>285714824.88</v>
      </c>
      <c r="F33" s="155">
        <f>F28*6</f>
        <v>1947525500</v>
      </c>
      <c r="G33" s="156">
        <f>SUM(E28+E29+E30+E31+E32+E33)-F33</f>
        <v>-121619219.55000019</v>
      </c>
      <c r="H33" s="69">
        <f t="shared" si="0"/>
        <v>725519652.20000005</v>
      </c>
      <c r="I33" s="155">
        <f>I28*6</f>
        <v>3877799000</v>
      </c>
      <c r="J33" s="156">
        <f>SUM(H28+H29+H30+H31+H32+H33)-I33</f>
        <v>-225852084.17000008</v>
      </c>
      <c r="K33" s="175">
        <f>J33/I40</f>
        <v>-2.9121169530705444E-2</v>
      </c>
    </row>
    <row r="34" spans="1:13" ht="14.1" customHeight="1" x14ac:dyDescent="0.2">
      <c r="A34" s="172" t="s">
        <v>49</v>
      </c>
      <c r="B34" s="173">
        <f>247511471+109836886.19</f>
        <v>357348357.19</v>
      </c>
      <c r="C34" s="155">
        <f>C28*7</f>
        <v>952438083.33333337</v>
      </c>
      <c r="D34" s="156">
        <f>SUM(B28+B29+B30+B31+B32+B33+B34)-C34</f>
        <v>154569710.05666673</v>
      </c>
      <c r="E34" s="177">
        <f>278115364.36+34463201.29</f>
        <v>312578565.65000004</v>
      </c>
      <c r="F34" s="155">
        <f>F28*7</f>
        <v>2272113083.333333</v>
      </c>
      <c r="G34" s="156">
        <f>SUM(E28+E29+E30+E31+E32+E33+E34)-F34</f>
        <v>-133628237.23333311</v>
      </c>
      <c r="H34" s="69">
        <f t="shared" si="0"/>
        <v>887148228.24000001</v>
      </c>
      <c r="I34" s="155">
        <f>I28*7</f>
        <v>4524098833.333334</v>
      </c>
      <c r="J34" s="156">
        <f>SUM(H28+H29+H30+H31+H32+H33+H34)-I34</f>
        <v>14996310.736665726</v>
      </c>
      <c r="K34" s="175">
        <f>J34/I40</f>
        <v>1.9336111459961856E-3</v>
      </c>
    </row>
    <row r="35" spans="1:13" ht="14.1" customHeight="1" x14ac:dyDescent="0.25">
      <c r="A35" s="172" t="s">
        <v>50</v>
      </c>
      <c r="B35" s="176">
        <v>0</v>
      </c>
      <c r="C35" s="155">
        <f>C28*8</f>
        <v>1088500666.6666667</v>
      </c>
      <c r="D35" s="156">
        <f>SUM(B28+B29+B30+B31+B32+B33+B34+B35)-C35</f>
        <v>18507126.723333359</v>
      </c>
      <c r="E35" s="177">
        <f>361394693.03+29769585.38</f>
        <v>391164278.40999997</v>
      </c>
      <c r="F35" s="155">
        <f>F28*8</f>
        <v>2596700666.6666665</v>
      </c>
      <c r="G35" s="156">
        <f>SUM(E28+E29+E30+E31+E32+E33+E34+E35)-F35</f>
        <v>-67051542.156666756</v>
      </c>
      <c r="H35" s="69">
        <f t="shared" si="0"/>
        <v>592993292.56999993</v>
      </c>
      <c r="I35" s="155">
        <f>I28*8</f>
        <v>5170398666.666667</v>
      </c>
      <c r="J35" s="156">
        <f>SUM(H28+H29+H30+H31+H32+H33+H34+H35)-I35</f>
        <v>-38310230.026667595</v>
      </c>
      <c r="K35" s="175">
        <f>J35/I40</f>
        <v>-4.9396874395330435E-3</v>
      </c>
    </row>
    <row r="36" spans="1:13" ht="14.1" customHeight="1" x14ac:dyDescent="0.2">
      <c r="A36" s="172" t="s">
        <v>51</v>
      </c>
      <c r="B36" s="173">
        <f>157121127.28</f>
        <v>157121127.28</v>
      </c>
      <c r="C36" s="155">
        <f>C28*9</f>
        <v>1224563250</v>
      </c>
      <c r="D36" s="156">
        <f>SUM(B28+B29+B30+B31+B32+B33+B34+B35+B36)-C36</f>
        <v>39565670.670000076</v>
      </c>
      <c r="E36" s="177">
        <f>261499518.95</f>
        <v>261499518.94999999</v>
      </c>
      <c r="F36" s="155">
        <f>F28*9</f>
        <v>2921288250</v>
      </c>
      <c r="G36" s="156">
        <f>SUM(E28+E29+E30+E31+E32+E33+E34+E35+E36)-F36</f>
        <v>-130139606.54000044</v>
      </c>
      <c r="H36" s="69">
        <f t="shared" si="0"/>
        <v>593798426.18000007</v>
      </c>
      <c r="I36" s="155">
        <f>I28*9</f>
        <v>5816698500</v>
      </c>
      <c r="J36" s="156">
        <f>SUM(H28+H29+H30+H31+H32+H33+H34+H35+H36)-I36</f>
        <v>-90811637.180000305</v>
      </c>
      <c r="K36" s="175">
        <f>J36/I40</f>
        <v>-1.1709172803954036E-2</v>
      </c>
    </row>
    <row r="37" spans="1:13" ht="14.1" customHeight="1" x14ac:dyDescent="0.2">
      <c r="A37" s="172" t="s">
        <v>52</v>
      </c>
      <c r="B37" s="176">
        <f>135502669.2+9694134.76</f>
        <v>145196803.95999998</v>
      </c>
      <c r="C37" s="155">
        <f>C28*10</f>
        <v>1360625833.3333335</v>
      </c>
      <c r="D37" s="156">
        <f>SUM(B28+B29+B30+B31+B32+B33+B34+B35+B36+B37)-C37</f>
        <v>48699891.296666622</v>
      </c>
      <c r="E37" s="177">
        <f>249370791.47+26401884.76</f>
        <v>275772676.23000002</v>
      </c>
      <c r="F37" s="155">
        <f>F28*10</f>
        <v>3245875833.333333</v>
      </c>
      <c r="G37" s="156">
        <f>SUM(E28+E29+E30+E31+E32+E33+E34+E35+E36+E37)-F37</f>
        <v>-178954513.64333344</v>
      </c>
      <c r="H37" s="69">
        <f t="shared" si="0"/>
        <v>619453676.46000004</v>
      </c>
      <c r="I37" s="155">
        <f>I28*10</f>
        <v>6462998333.333334</v>
      </c>
      <c r="J37" s="156">
        <f>SUM(H28+H29+H30+H31+H32+H33+H34+H35+H36+H37)-I37</f>
        <v>-117657794.05333424</v>
      </c>
      <c r="K37" s="175">
        <f>J37/I40</f>
        <v>-1.5170692711681838E-2</v>
      </c>
    </row>
    <row r="38" spans="1:13" ht="14.1" customHeight="1" x14ac:dyDescent="0.25">
      <c r="A38" s="172" t="s">
        <v>53</v>
      </c>
      <c r="B38" s="176">
        <f>6018590.88</f>
        <v>6018590.8799999999</v>
      </c>
      <c r="C38" s="155">
        <f>C28*11</f>
        <v>1496688416.6666667</v>
      </c>
      <c r="D38" s="156">
        <f>SUM(B28+B29+B30+B31+B32+B33+B34+B35+B36+B37+B38)-C38</f>
        <v>-81344101.156666517</v>
      </c>
      <c r="E38" s="177">
        <f>399824897.2+26451215.74</f>
        <v>426276112.94</v>
      </c>
      <c r="F38" s="155">
        <f>F28*11</f>
        <v>3570463416.6666665</v>
      </c>
      <c r="G38" s="156">
        <f>SUM(E28+E29+E30+E31+E32+E33+E34+E35+E36+E37+E38)-F38</f>
        <v>-77265984.03666687</v>
      </c>
      <c r="H38" s="69">
        <f t="shared" si="0"/>
        <v>629133957.52999997</v>
      </c>
      <c r="I38" s="155">
        <f>I28*11</f>
        <v>7109298166.666667</v>
      </c>
      <c r="J38" s="156">
        <f>SUM(H28+H29+H30+H31+H32+H33+H34+H35+H36+H37+H38)-I38</f>
        <v>-134823669.85666752</v>
      </c>
      <c r="K38" s="175">
        <f>J38/I40</f>
        <v>-1.738404567341777E-2</v>
      </c>
    </row>
    <row r="39" spans="1:13" ht="14.1" customHeight="1" thickBot="1" x14ac:dyDescent="0.25">
      <c r="A39" s="178" t="s">
        <v>54</v>
      </c>
      <c r="B39" s="179">
        <f>289657435.38</f>
        <v>289657435.38</v>
      </c>
      <c r="C39" s="161">
        <f>C28*12</f>
        <v>1632751000</v>
      </c>
      <c r="D39" s="180">
        <f>SUM(B28+B29+B30+B31+B32+B33+B34+B35+B36+B37+B38+B39)-C39</f>
        <v>72250750.890000343</v>
      </c>
      <c r="E39" s="181">
        <f>318015845.14+27365739.45</f>
        <v>345381584.58999997</v>
      </c>
      <c r="F39" s="161">
        <f>F28*12</f>
        <v>3895051000</v>
      </c>
      <c r="G39" s="156">
        <f>SUM(E28+E29+E30+E31+E32+E33+E34+E35+E36+E37+E38+E39)-F39</f>
        <v>-56471982.78000021</v>
      </c>
      <c r="H39" s="70">
        <f t="shared" si="0"/>
        <v>871562143.47000003</v>
      </c>
      <c r="I39" s="182">
        <f>I28*12</f>
        <v>7755598000</v>
      </c>
      <c r="J39" s="183">
        <f>SUM(H28+H29+H30+H31+H32+H33+H34+H35+H36+H37+H38+H39)-I39</f>
        <v>90438640.279999733</v>
      </c>
      <c r="K39" s="175">
        <f>J39/I40</f>
        <v>1.1661078911000768E-2</v>
      </c>
    </row>
    <row r="40" spans="1:13" ht="15" customHeight="1" thickBot="1" x14ac:dyDescent="0.25">
      <c r="A40" s="49" t="s">
        <v>21</v>
      </c>
      <c r="B40" s="71">
        <f>SUM(B28:B39)</f>
        <v>1705001750.8900003</v>
      </c>
      <c r="C40" s="72">
        <v>1632751000</v>
      </c>
      <c r="D40" s="73"/>
      <c r="E40" s="50">
        <f>SUM(E28:E39)</f>
        <v>3838579017.2199998</v>
      </c>
      <c r="F40" s="51">
        <v>3895051000</v>
      </c>
      <c r="G40" s="74"/>
      <c r="H40" s="75">
        <f t="shared" si="0"/>
        <v>7846036640.2800007</v>
      </c>
      <c r="I40" s="76">
        <f>C20+F20+I20+L20+C40+F40</f>
        <v>7755598000</v>
      </c>
      <c r="J40" s="77"/>
      <c r="K40" s="78"/>
    </row>
    <row r="41" spans="1:13" x14ac:dyDescent="0.2">
      <c r="A41" s="59"/>
      <c r="B41" s="42"/>
      <c r="C41" s="42"/>
      <c r="D41" s="42"/>
      <c r="E41" s="42"/>
      <c r="F41" s="42"/>
      <c r="G41" s="42"/>
      <c r="H41" s="40"/>
      <c r="I41" s="42"/>
      <c r="J41" s="42"/>
      <c r="K41" s="42"/>
      <c r="L41" s="42"/>
      <c r="M41" s="42"/>
    </row>
    <row r="42" spans="1:13" x14ac:dyDescent="0.2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48"/>
      <c r="L42" s="248"/>
      <c r="M42" s="248"/>
    </row>
    <row r="43" spans="1:13" x14ac:dyDescent="0.2">
      <c r="K43" s="79"/>
      <c r="L43" s="80"/>
    </row>
    <row r="44" spans="1:13" x14ac:dyDescent="0.2">
      <c r="K44" s="79"/>
    </row>
    <row r="45" spans="1:13" x14ac:dyDescent="0.2">
      <c r="K45" s="79"/>
    </row>
    <row r="46" spans="1:13" x14ac:dyDescent="0.2">
      <c r="K46" s="79"/>
    </row>
    <row r="48" spans="1:13" x14ac:dyDescent="0.2">
      <c r="K48" s="81"/>
    </row>
  </sheetData>
  <mergeCells count="34">
    <mergeCell ref="K26:K27"/>
    <mergeCell ref="A42:M42"/>
    <mergeCell ref="E26:E27"/>
    <mergeCell ref="F26:F27"/>
    <mergeCell ref="G26:G27"/>
    <mergeCell ref="H26:H27"/>
    <mergeCell ref="I26:I27"/>
    <mergeCell ref="J26:J27"/>
    <mergeCell ref="A24:A27"/>
    <mergeCell ref="B24:D25"/>
    <mergeCell ref="E24:G25"/>
    <mergeCell ref="H24:J25"/>
    <mergeCell ref="B26:B27"/>
    <mergeCell ref="M6:M7"/>
    <mergeCell ref="E6:E7"/>
    <mergeCell ref="H6:H7"/>
    <mergeCell ref="I6:I7"/>
    <mergeCell ref="J6:J7"/>
    <mergeCell ref="F6:F7"/>
    <mergeCell ref="G6:G7"/>
    <mergeCell ref="C26:C27"/>
    <mergeCell ref="D26:D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T72"/>
  <sheetViews>
    <sheetView showGridLines="0" zoomScale="120" zoomScaleNormal="120" zoomScaleSheetLayoutView="110" zoomScalePageLayoutView="120" workbookViewId="0">
      <selection activeCell="B1" sqref="B1:S1"/>
    </sheetView>
  </sheetViews>
  <sheetFormatPr defaultColWidth="9.140625" defaultRowHeight="12.75" x14ac:dyDescent="0.2"/>
  <cols>
    <col min="1" max="1" width="3.7109375" style="83" customWidth="1"/>
    <col min="2" max="8" width="9.140625" style="83"/>
    <col min="9" max="9" width="9.140625" style="83" customWidth="1"/>
    <col min="10" max="19" width="9.140625" style="83"/>
    <col min="20" max="20" width="3.7109375" style="83" customWidth="1"/>
    <col min="21" max="16384" width="9.140625" style="83"/>
  </cols>
  <sheetData>
    <row r="1" spans="1:19" ht="28.5" x14ac:dyDescent="0.45">
      <c r="A1" s="82"/>
      <c r="B1" s="265" t="s">
        <v>80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6"/>
      <c r="S1" s="266"/>
    </row>
    <row r="2" spans="1:19" ht="20.45" x14ac:dyDescent="0.35">
      <c r="B2" s="267" t="s">
        <v>78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68"/>
      <c r="P2" s="268"/>
      <c r="Q2" s="268"/>
      <c r="R2" s="268"/>
      <c r="S2" s="268"/>
    </row>
    <row r="3" spans="1:19" ht="12.75" customHeight="1" x14ac:dyDescent="0.3">
      <c r="A3" s="84"/>
    </row>
    <row r="4" spans="1:19" ht="12.75" customHeight="1" x14ac:dyDescent="0.25"/>
    <row r="39" spans="11:20" x14ac:dyDescent="0.2">
      <c r="K39" s="85"/>
    </row>
    <row r="40" spans="11:20" x14ac:dyDescent="0.2">
      <c r="K40" s="85"/>
    </row>
    <row r="45" spans="11:20" x14ac:dyDescent="0.2">
      <c r="K45" s="86"/>
      <c r="L45" s="87"/>
      <c r="M45" s="87"/>
      <c r="N45" s="87"/>
      <c r="O45" s="87"/>
      <c r="P45" s="87"/>
      <c r="Q45" s="87"/>
      <c r="R45" s="87"/>
      <c r="S45" s="87"/>
    </row>
    <row r="46" spans="11:20" x14ac:dyDescent="0.2">
      <c r="L46" s="87"/>
      <c r="M46" s="87"/>
      <c r="N46" s="87"/>
      <c r="O46" s="87"/>
      <c r="P46" s="87"/>
      <c r="Q46" s="87"/>
      <c r="R46" s="87"/>
      <c r="S46" s="87"/>
    </row>
    <row r="47" spans="11:20" ht="5.65" customHeight="1" x14ac:dyDescent="0.2">
      <c r="L47" s="87"/>
      <c r="M47" s="87"/>
      <c r="N47" s="87"/>
      <c r="O47" s="87"/>
      <c r="P47" s="87"/>
      <c r="Q47" s="87"/>
      <c r="R47" s="87"/>
      <c r="S47" s="87"/>
    </row>
    <row r="48" spans="11:20" ht="15" x14ac:dyDescent="0.25">
      <c r="K48" s="269" t="s">
        <v>61</v>
      </c>
      <c r="L48" s="270"/>
      <c r="M48" s="270"/>
      <c r="N48" s="270"/>
      <c r="O48" s="270"/>
      <c r="P48" s="270"/>
      <c r="Q48" s="270"/>
      <c r="R48" s="270"/>
      <c r="S48" s="270"/>
      <c r="T48" s="270"/>
    </row>
    <row r="49" spans="1:19" ht="28.5" x14ac:dyDescent="0.45">
      <c r="A49" s="82"/>
      <c r="B49" s="265" t="s">
        <v>81</v>
      </c>
      <c r="C49" s="266"/>
      <c r="D49" s="266"/>
      <c r="E49" s="266"/>
      <c r="F49" s="266"/>
      <c r="G49" s="266"/>
      <c r="H49" s="266"/>
      <c r="I49" s="266"/>
      <c r="J49" s="266"/>
      <c r="K49" s="266"/>
      <c r="L49" s="266"/>
      <c r="M49" s="266"/>
      <c r="N49" s="266"/>
      <c r="O49" s="266"/>
      <c r="P49" s="266"/>
      <c r="Q49" s="266"/>
      <c r="R49" s="266"/>
      <c r="S49" s="266"/>
    </row>
    <row r="50" spans="1:19" ht="20.25" x14ac:dyDescent="0.3">
      <c r="B50" s="267" t="s">
        <v>78</v>
      </c>
      <c r="C50" s="228"/>
      <c r="D50" s="228"/>
      <c r="E50" s="228"/>
      <c r="F50" s="228"/>
      <c r="G50" s="228"/>
      <c r="H50" s="228"/>
      <c r="I50" s="228"/>
      <c r="J50" s="228"/>
      <c r="K50" s="228"/>
      <c r="L50" s="228"/>
      <c r="M50" s="228"/>
      <c r="N50" s="228"/>
      <c r="O50" s="268"/>
      <c r="P50" s="268"/>
      <c r="Q50" s="268"/>
      <c r="R50" s="268"/>
      <c r="S50" s="268"/>
    </row>
    <row r="51" spans="1:19" ht="12.75" customHeight="1" x14ac:dyDescent="0.2"/>
    <row r="72" spans="11:19" x14ac:dyDescent="0.2">
      <c r="K72" s="263"/>
      <c r="L72" s="264"/>
      <c r="M72" s="264"/>
      <c r="N72" s="264"/>
      <c r="O72" s="264"/>
      <c r="P72" s="264"/>
      <c r="Q72" s="264"/>
      <c r="R72" s="264"/>
      <c r="S72" s="264"/>
    </row>
  </sheetData>
  <mergeCells count="6">
    <mergeCell ref="K72:S72"/>
    <mergeCell ref="B1:S1"/>
    <mergeCell ref="B2:S2"/>
    <mergeCell ref="K48:T48"/>
    <mergeCell ref="B49:S49"/>
    <mergeCell ref="B50:S50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79" fitToHeight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N48"/>
  <sheetViews>
    <sheetView showGridLines="0" topLeftCell="A16" zoomScale="130" zoomScaleNormal="130" workbookViewId="0">
      <selection sqref="A1:M1"/>
    </sheetView>
  </sheetViews>
  <sheetFormatPr defaultColWidth="9.140625" defaultRowHeight="12.75" x14ac:dyDescent="0.2"/>
  <cols>
    <col min="1" max="1" width="8.7109375" style="35" customWidth="1"/>
    <col min="2" max="13" width="12.7109375" style="35" customWidth="1"/>
    <col min="14" max="14" width="10.85546875" style="35" customWidth="1"/>
    <col min="15" max="15" width="9.7109375" style="35" customWidth="1"/>
    <col min="16" max="16" width="12.42578125" style="35" customWidth="1"/>
    <col min="17" max="18" width="9.7109375" style="35" customWidth="1"/>
    <col min="19" max="19" width="11" style="35" customWidth="1"/>
    <col min="20" max="16384" width="9.140625" style="35"/>
  </cols>
  <sheetData>
    <row r="1" spans="1:14" ht="20.25" x14ac:dyDescent="0.3">
      <c r="A1" s="227" t="s">
        <v>82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4" ht="20.45" x14ac:dyDescent="0.35">
      <c r="A2" s="229" t="s">
        <v>78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</row>
    <row r="3" spans="1:14" ht="13.5" customHeight="1" thickBot="1" x14ac:dyDescent="0.25">
      <c r="B3" s="36"/>
      <c r="C3" s="37"/>
      <c r="D3" s="38"/>
      <c r="E3" s="38"/>
      <c r="F3" s="38"/>
      <c r="G3" s="39"/>
      <c r="H3" s="39"/>
      <c r="I3" s="39"/>
      <c r="J3" s="39"/>
      <c r="K3" s="40"/>
      <c r="L3" s="40"/>
      <c r="M3" s="41" t="s">
        <v>31</v>
      </c>
      <c r="N3" s="42"/>
    </row>
    <row r="4" spans="1:14" ht="13.5" customHeight="1" x14ac:dyDescent="0.2">
      <c r="A4" s="231" t="s">
        <v>32</v>
      </c>
      <c r="B4" s="234" t="s">
        <v>33</v>
      </c>
      <c r="C4" s="235"/>
      <c r="D4" s="236"/>
      <c r="E4" s="240" t="s">
        <v>34</v>
      </c>
      <c r="F4" s="235"/>
      <c r="G4" s="236"/>
      <c r="H4" s="241" t="s">
        <v>35</v>
      </c>
      <c r="I4" s="235"/>
      <c r="J4" s="236"/>
      <c r="K4" s="242" t="s">
        <v>36</v>
      </c>
      <c r="L4" s="235"/>
      <c r="M4" s="236"/>
      <c r="N4" s="42"/>
    </row>
    <row r="5" spans="1:14" ht="13.5" customHeight="1" thickBot="1" x14ac:dyDescent="0.25">
      <c r="A5" s="232"/>
      <c r="B5" s="237"/>
      <c r="C5" s="238"/>
      <c r="D5" s="239"/>
      <c r="E5" s="237"/>
      <c r="F5" s="238"/>
      <c r="G5" s="239"/>
      <c r="H5" s="237"/>
      <c r="I5" s="238"/>
      <c r="J5" s="239"/>
      <c r="K5" s="237"/>
      <c r="L5" s="238"/>
      <c r="M5" s="239"/>
      <c r="N5" s="40"/>
    </row>
    <row r="6" spans="1:14" ht="12.75" customHeight="1" x14ac:dyDescent="0.2">
      <c r="A6" s="232"/>
      <c r="B6" s="243" t="s">
        <v>37</v>
      </c>
      <c r="C6" s="223" t="s">
        <v>38</v>
      </c>
      <c r="D6" s="225" t="s">
        <v>39</v>
      </c>
      <c r="E6" s="243" t="s">
        <v>40</v>
      </c>
      <c r="F6" s="223" t="s">
        <v>38</v>
      </c>
      <c r="G6" s="225" t="s">
        <v>39</v>
      </c>
      <c r="H6" s="243" t="s">
        <v>41</v>
      </c>
      <c r="I6" s="223" t="s">
        <v>38</v>
      </c>
      <c r="J6" s="225" t="s">
        <v>39</v>
      </c>
      <c r="K6" s="243" t="s">
        <v>42</v>
      </c>
      <c r="L6" s="223" t="s">
        <v>38</v>
      </c>
      <c r="M6" s="225" t="s">
        <v>39</v>
      </c>
    </row>
    <row r="7" spans="1:14" ht="13.5" thickBot="1" x14ac:dyDescent="0.25">
      <c r="A7" s="233"/>
      <c r="B7" s="244"/>
      <c r="C7" s="224"/>
      <c r="D7" s="226"/>
      <c r="E7" s="244"/>
      <c r="F7" s="224"/>
      <c r="G7" s="226"/>
      <c r="H7" s="244"/>
      <c r="I7" s="224"/>
      <c r="J7" s="226"/>
      <c r="K7" s="244"/>
      <c r="L7" s="224"/>
      <c r="M7" s="226"/>
    </row>
    <row r="8" spans="1:14" ht="14.1" customHeight="1" x14ac:dyDescent="0.25">
      <c r="A8" s="149" t="s">
        <v>43</v>
      </c>
      <c r="B8" s="47">
        <f>71605997.24+101329266.98</f>
        <v>172935264.22</v>
      </c>
      <c r="C8" s="150">
        <f>C20/12</f>
        <v>157645583.33333334</v>
      </c>
      <c r="D8" s="46">
        <f>B8-C8</f>
        <v>15289680.886666656</v>
      </c>
      <c r="E8" s="151">
        <f>4894422.38+6926071.15</f>
        <v>11820493.530000001</v>
      </c>
      <c r="F8" s="150">
        <f>F20/12</f>
        <v>10774166.666666666</v>
      </c>
      <c r="G8" s="46">
        <f>E8-F8</f>
        <v>1046326.8633333351</v>
      </c>
      <c r="H8" s="151">
        <f>3968369.06+830945.06</f>
        <v>4799314.12</v>
      </c>
      <c r="I8" s="150">
        <f>I20/12</f>
        <v>3243166.6666666665</v>
      </c>
      <c r="J8" s="152">
        <f>H8-I8</f>
        <v>1556147.4533333336</v>
      </c>
      <c r="K8" s="151">
        <f>8822763.75+4916547.55</f>
        <v>13739311.300000001</v>
      </c>
      <c r="L8" s="150">
        <f>L20/12</f>
        <v>13986750</v>
      </c>
      <c r="M8" s="152">
        <f>K8-L8</f>
        <v>-247438.69999999925</v>
      </c>
    </row>
    <row r="9" spans="1:14" ht="14.1" customHeight="1" x14ac:dyDescent="0.2">
      <c r="A9" s="43" t="s">
        <v>44</v>
      </c>
      <c r="B9" s="44">
        <f>65744580.69+96997598.06+B8</f>
        <v>335677442.97000003</v>
      </c>
      <c r="C9" s="45">
        <f>C8*2</f>
        <v>315291166.66666669</v>
      </c>
      <c r="D9" s="46">
        <f>B9-C9</f>
        <v>20386276.303333342</v>
      </c>
      <c r="E9" s="47">
        <f>4493782.07+6629992.4+E8</f>
        <v>22944268</v>
      </c>
      <c r="F9" s="45">
        <f>F8*2</f>
        <v>21548333.333333332</v>
      </c>
      <c r="G9" s="46">
        <f t="shared" ref="G9:G19" si="0">E9-F9</f>
        <v>1395934.6666666679</v>
      </c>
      <c r="H9" s="47">
        <f>1398316.3+1175936.36+H8</f>
        <v>7373566.7800000003</v>
      </c>
      <c r="I9" s="45">
        <f>I8*2</f>
        <v>6486333.333333333</v>
      </c>
      <c r="J9" s="46">
        <f t="shared" ref="J9:J19" si="1">H9-I9</f>
        <v>887233.44666666724</v>
      </c>
      <c r="K9" s="44">
        <f>11423499.74+4384097.03+K8</f>
        <v>29546908.07</v>
      </c>
      <c r="L9" s="45">
        <f>L8*2</f>
        <v>27973500</v>
      </c>
      <c r="M9" s="46">
        <f t="shared" ref="M9:M19" si="2">K9-L9</f>
        <v>1573408.0700000003</v>
      </c>
    </row>
    <row r="10" spans="1:14" ht="14.1" customHeight="1" x14ac:dyDescent="0.2">
      <c r="A10" s="153" t="s">
        <v>45</v>
      </c>
      <c r="B10" s="154">
        <f>56455013.72+80995880.15+B9</f>
        <v>473128336.84000003</v>
      </c>
      <c r="C10" s="155">
        <f>C8*3</f>
        <v>472936750</v>
      </c>
      <c r="D10" s="156">
        <f>B10-C10</f>
        <v>191586.84000003338</v>
      </c>
      <c r="E10" s="157">
        <f>3858820.38+5536240.88+E9</f>
        <v>32339329.259999998</v>
      </c>
      <c r="F10" s="158">
        <f>F8*3</f>
        <v>32322500</v>
      </c>
      <c r="G10" s="156">
        <f t="shared" si="0"/>
        <v>16829.259999997914</v>
      </c>
      <c r="H10" s="157">
        <f>2281145.83+3267947.7+H9</f>
        <v>12922660.310000001</v>
      </c>
      <c r="I10" s="158">
        <f>I8*3</f>
        <v>9729500</v>
      </c>
      <c r="J10" s="156">
        <f t="shared" si="1"/>
        <v>3193160.3100000005</v>
      </c>
      <c r="K10" s="154">
        <f>4322578.77+5483337.8+K9</f>
        <v>39352824.640000001</v>
      </c>
      <c r="L10" s="158">
        <f>L8*3</f>
        <v>41960250</v>
      </c>
      <c r="M10" s="156">
        <f t="shared" si="2"/>
        <v>-2607425.3599999994</v>
      </c>
    </row>
    <row r="11" spans="1:14" ht="14.1" customHeight="1" x14ac:dyDescent="0.25">
      <c r="A11" s="153" t="s">
        <v>46</v>
      </c>
      <c r="B11" s="154">
        <f>48070126.83+77156595.18+B10</f>
        <v>598355058.85000002</v>
      </c>
      <c r="C11" s="155">
        <f>C8*4</f>
        <v>630582333.33333337</v>
      </c>
      <c r="D11" s="156">
        <f t="shared" ref="D11:D19" si="3">B11-C11</f>
        <v>-32227274.483333349</v>
      </c>
      <c r="E11" s="157">
        <f>3285695.53+5273817.57+E10</f>
        <v>40898842.359999999</v>
      </c>
      <c r="F11" s="155">
        <f>F8*4</f>
        <v>43096666.666666664</v>
      </c>
      <c r="G11" s="156">
        <f t="shared" si="0"/>
        <v>-2197824.3066666648</v>
      </c>
      <c r="H11" s="157">
        <f t="shared" ref="H11:H15" si="4">H10</f>
        <v>12922660.310000001</v>
      </c>
      <c r="I11" s="155">
        <f>I8*4</f>
        <v>12972666.666666666</v>
      </c>
      <c r="J11" s="156">
        <f t="shared" si="1"/>
        <v>-50006.356666665524</v>
      </c>
      <c r="K11" s="154">
        <f>5426080.32+6110250.12+K10</f>
        <v>50889155.079999998</v>
      </c>
      <c r="L11" s="155">
        <f>L8*4</f>
        <v>55947000</v>
      </c>
      <c r="M11" s="156">
        <f t="shared" si="2"/>
        <v>-5057844.9200000018</v>
      </c>
    </row>
    <row r="12" spans="1:14" ht="14.1" customHeight="1" x14ac:dyDescent="0.2">
      <c r="A12" s="153" t="s">
        <v>47</v>
      </c>
      <c r="B12" s="154">
        <f>48146073.65+104949191.77+B11</f>
        <v>751450324.26999998</v>
      </c>
      <c r="C12" s="155">
        <f>C8*5</f>
        <v>788227916.66666675</v>
      </c>
      <c r="D12" s="156">
        <f t="shared" si="3"/>
        <v>-36777592.396666765</v>
      </c>
      <c r="E12" s="157">
        <f>3290886.64+7173500.72+E11</f>
        <v>51363229.719999999</v>
      </c>
      <c r="F12" s="155">
        <f>F8*5</f>
        <v>53870833.333333328</v>
      </c>
      <c r="G12" s="156">
        <f t="shared" si="0"/>
        <v>-2507603.6133333296</v>
      </c>
      <c r="H12" s="157">
        <f t="shared" si="4"/>
        <v>12922660.310000001</v>
      </c>
      <c r="I12" s="155">
        <f>I8*5</f>
        <v>16215833.333333332</v>
      </c>
      <c r="J12" s="156">
        <f t="shared" si="1"/>
        <v>-3293173.0233333316</v>
      </c>
      <c r="K12" s="154">
        <f>7594227.23+5756348.65+K11</f>
        <v>64239730.960000001</v>
      </c>
      <c r="L12" s="155">
        <f>L8*5</f>
        <v>69933750</v>
      </c>
      <c r="M12" s="156">
        <f>K12-L12</f>
        <v>-5694019.0399999991</v>
      </c>
    </row>
    <row r="13" spans="1:14" ht="14.1" customHeight="1" x14ac:dyDescent="0.2">
      <c r="A13" s="153" t="s">
        <v>48</v>
      </c>
      <c r="B13" s="154">
        <f>66523906.41+102548362.59+B12</f>
        <v>920522593.26999998</v>
      </c>
      <c r="C13" s="155">
        <f>C8*6</f>
        <v>945873500</v>
      </c>
      <c r="D13" s="156">
        <f t="shared" si="3"/>
        <v>-25350906.730000019</v>
      </c>
      <c r="E13" s="157">
        <f>4547050.68+7009398.94+E12</f>
        <v>62919679.340000004</v>
      </c>
      <c r="F13" s="155">
        <f>F8*6</f>
        <v>64645000</v>
      </c>
      <c r="G13" s="156">
        <f t="shared" si="0"/>
        <v>-1725320.6599999964</v>
      </c>
      <c r="H13" s="157">
        <f t="shared" si="4"/>
        <v>12922660.310000001</v>
      </c>
      <c r="I13" s="155">
        <f>I8*6</f>
        <v>19459000</v>
      </c>
      <c r="J13" s="156">
        <f t="shared" si="1"/>
        <v>-6536339.6899999995</v>
      </c>
      <c r="K13" s="154">
        <f>9124545.13+6651990.17+K12</f>
        <v>80016266.260000005</v>
      </c>
      <c r="L13" s="155">
        <f>L8*6</f>
        <v>83920500</v>
      </c>
      <c r="M13" s="156">
        <f t="shared" si="2"/>
        <v>-3904233.7399999946</v>
      </c>
    </row>
    <row r="14" spans="1:14" ht="14.1" customHeight="1" x14ac:dyDescent="0.2">
      <c r="A14" s="153" t="s">
        <v>49</v>
      </c>
      <c r="B14" s="154">
        <f>69530573.25+104924651.98+B13</f>
        <v>1094977818.5</v>
      </c>
      <c r="C14" s="155">
        <f>C8*7</f>
        <v>1103519083.3333335</v>
      </c>
      <c r="D14" s="156">
        <f t="shared" si="3"/>
        <v>-8541264.8333334923</v>
      </c>
      <c r="E14" s="157">
        <f>4752562.7+7171823.42+E13</f>
        <v>74844065.460000008</v>
      </c>
      <c r="F14" s="155">
        <f>F8*7</f>
        <v>75419166.666666657</v>
      </c>
      <c r="G14" s="156">
        <f t="shared" si="0"/>
        <v>-575101.20666664839</v>
      </c>
      <c r="H14" s="157">
        <f>1953079.43+8948708.87+H13</f>
        <v>23824448.609999999</v>
      </c>
      <c r="I14" s="155">
        <f>I8*7</f>
        <v>22702166.666666664</v>
      </c>
      <c r="J14" s="156">
        <f t="shared" si="1"/>
        <v>1122281.9433333352</v>
      </c>
      <c r="K14" s="154">
        <f>10140215.57+9799690.18+K13</f>
        <v>99956172.010000005</v>
      </c>
      <c r="L14" s="155">
        <f>L8*7</f>
        <v>97907250</v>
      </c>
      <c r="M14" s="156">
        <f t="shared" si="2"/>
        <v>2048922.0100000054</v>
      </c>
    </row>
    <row r="15" spans="1:14" ht="14.1" customHeight="1" x14ac:dyDescent="0.25">
      <c r="A15" s="153" t="s">
        <v>50</v>
      </c>
      <c r="B15" s="154">
        <f>64004109.34+107536136.6+B14</f>
        <v>1266518064.4400001</v>
      </c>
      <c r="C15" s="155">
        <f>C8*8</f>
        <v>1261164666.6666667</v>
      </c>
      <c r="D15" s="156">
        <f t="shared" si="3"/>
        <v>5353397.7733333111</v>
      </c>
      <c r="E15" s="157">
        <f>4374817.14+7350323.91+E14</f>
        <v>86569206.510000005</v>
      </c>
      <c r="F15" s="155">
        <f>F8*8</f>
        <v>86193333.333333328</v>
      </c>
      <c r="G15" s="156">
        <f t="shared" si="0"/>
        <v>375873.176666677</v>
      </c>
      <c r="H15" s="157">
        <f t="shared" si="4"/>
        <v>23824448.609999999</v>
      </c>
      <c r="I15" s="155">
        <f>I8*8</f>
        <v>25945333.333333332</v>
      </c>
      <c r="J15" s="156">
        <f t="shared" si="1"/>
        <v>-2120884.7233333327</v>
      </c>
      <c r="K15" s="154">
        <f>12186199.55+6377427.62+K14</f>
        <v>118519799.18000001</v>
      </c>
      <c r="L15" s="155">
        <f>L8*8</f>
        <v>111894000</v>
      </c>
      <c r="M15" s="156">
        <f t="shared" si="2"/>
        <v>6625799.1800000072</v>
      </c>
    </row>
    <row r="16" spans="1:14" ht="14.1" customHeight="1" x14ac:dyDescent="0.2">
      <c r="A16" s="153" t="s">
        <v>51</v>
      </c>
      <c r="B16" s="154">
        <f>62103545.61+78822821.95+B15</f>
        <v>1407444432</v>
      </c>
      <c r="C16" s="155">
        <f>C8*9</f>
        <v>1418810250</v>
      </c>
      <c r="D16" s="156">
        <f t="shared" si="3"/>
        <v>-11365818</v>
      </c>
      <c r="E16" s="157">
        <f>4244909.58+5258973.73+E15</f>
        <v>96073089.820000008</v>
      </c>
      <c r="F16" s="155">
        <f>F8*9</f>
        <v>96967500</v>
      </c>
      <c r="G16" s="156">
        <f t="shared" si="0"/>
        <v>-894410.17999999225</v>
      </c>
      <c r="H16" s="157">
        <f>6822741.69+H15</f>
        <v>30647190.300000001</v>
      </c>
      <c r="I16" s="155">
        <f>I8*9</f>
        <v>29188500</v>
      </c>
      <c r="J16" s="156">
        <f t="shared" si="1"/>
        <v>1458690.3000000007</v>
      </c>
      <c r="K16" s="154">
        <f>9979211.57+7945575.82+K15</f>
        <v>136444586.56999999</v>
      </c>
      <c r="L16" s="155">
        <f>L8*9</f>
        <v>125880750</v>
      </c>
      <c r="M16" s="156">
        <f t="shared" si="2"/>
        <v>10563836.569999993</v>
      </c>
    </row>
    <row r="17" spans="1:13" ht="14.1" customHeight="1" x14ac:dyDescent="0.2">
      <c r="A17" s="153" t="s">
        <v>52</v>
      </c>
      <c r="B17" s="154">
        <f>66475821.13+98395049.42+B16</f>
        <v>1572315302.55</v>
      </c>
      <c r="C17" s="155">
        <f>C8*10</f>
        <v>1576455833.3333335</v>
      </c>
      <c r="D17" s="156">
        <f t="shared" si="3"/>
        <v>-4140530.78333354</v>
      </c>
      <c r="E17" s="157">
        <f>4537357.72+6716028.84+E16</f>
        <v>107326476.38000001</v>
      </c>
      <c r="F17" s="155">
        <f>F8*10</f>
        <v>107741666.66666666</v>
      </c>
      <c r="G17" s="156">
        <f t="shared" si="0"/>
        <v>-415190.2866666466</v>
      </c>
      <c r="H17" s="157">
        <f>3883353.98+1016038.59+H16</f>
        <v>35546582.870000005</v>
      </c>
      <c r="I17" s="155">
        <f>I8*10</f>
        <v>32431666.666666664</v>
      </c>
      <c r="J17" s="156">
        <f t="shared" si="1"/>
        <v>3114916.2033333406</v>
      </c>
      <c r="K17" s="154">
        <f>11047571+6412975.59+K16</f>
        <v>153905133.16</v>
      </c>
      <c r="L17" s="155">
        <f>L8*10</f>
        <v>139867500</v>
      </c>
      <c r="M17" s="156">
        <f t="shared" si="2"/>
        <v>14037633.159999996</v>
      </c>
    </row>
    <row r="18" spans="1:13" ht="14.1" customHeight="1" x14ac:dyDescent="0.25">
      <c r="A18" s="153" t="s">
        <v>53</v>
      </c>
      <c r="B18" s="154">
        <f>61370335.66+106681104.35+B17</f>
        <v>1740366742.5599999</v>
      </c>
      <c r="C18" s="155">
        <f>C8*11</f>
        <v>1734101416.6666667</v>
      </c>
      <c r="D18" s="156">
        <f t="shared" si="3"/>
        <v>6265325.8933331966</v>
      </c>
      <c r="E18" s="157">
        <f>4188878.92+7281599.81+E17</f>
        <v>118796955.11000001</v>
      </c>
      <c r="F18" s="155">
        <f>F8*11</f>
        <v>118515833.33333333</v>
      </c>
      <c r="G18" s="156">
        <f t="shared" si="0"/>
        <v>281121.77666668594</v>
      </c>
      <c r="H18" s="157">
        <f>1334207.93+844844.33+H17</f>
        <v>37725635.130000003</v>
      </c>
      <c r="I18" s="155">
        <f>I8*11</f>
        <v>35674833.333333328</v>
      </c>
      <c r="J18" s="156">
        <f t="shared" si="1"/>
        <v>2050801.7966666743</v>
      </c>
      <c r="K18" s="154">
        <f>9120336.79+6017945.92+K17</f>
        <v>169043415.87</v>
      </c>
      <c r="L18" s="155">
        <f>L8*11</f>
        <v>153854250</v>
      </c>
      <c r="M18" s="156">
        <f t="shared" si="2"/>
        <v>15189165.870000005</v>
      </c>
    </row>
    <row r="19" spans="1:13" ht="14.1" customHeight="1" thickBot="1" x14ac:dyDescent="0.3">
      <c r="A19" s="159" t="s">
        <v>54</v>
      </c>
      <c r="B19" s="154">
        <f>60630552.23+132182730.72+B18</f>
        <v>1933180025.51</v>
      </c>
      <c r="C19" s="161">
        <f>C8*12</f>
        <v>1891747000</v>
      </c>
      <c r="D19" s="156">
        <f t="shared" si="3"/>
        <v>41433025.50999999</v>
      </c>
      <c r="E19" s="157">
        <f>4138384.43+9022232.75+E18</f>
        <v>131957572.29000002</v>
      </c>
      <c r="F19" s="161">
        <f>F8*12</f>
        <v>129290000</v>
      </c>
      <c r="G19" s="156">
        <f t="shared" si="0"/>
        <v>2667572.2900000215</v>
      </c>
      <c r="H19" s="157">
        <f>1031942.53+15519190.19+H18</f>
        <v>54276767.850000001</v>
      </c>
      <c r="I19" s="161">
        <f>I8*12</f>
        <v>38918000</v>
      </c>
      <c r="J19" s="156">
        <f t="shared" si="1"/>
        <v>15358767.850000001</v>
      </c>
      <c r="K19" s="154">
        <f>6530751.09+7467339.56+K18</f>
        <v>183041506.52000001</v>
      </c>
      <c r="L19" s="161">
        <f>L8*12</f>
        <v>167841000</v>
      </c>
      <c r="M19" s="156">
        <f t="shared" si="2"/>
        <v>15200506.520000011</v>
      </c>
    </row>
    <row r="20" spans="1:13" ht="15" customHeight="1" thickBot="1" x14ac:dyDescent="0.3">
      <c r="A20" s="49" t="s">
        <v>21</v>
      </c>
      <c r="B20" s="50">
        <f>B19</f>
        <v>1933180025.51</v>
      </c>
      <c r="C20" s="51">
        <v>1891747000</v>
      </c>
      <c r="D20" s="52"/>
      <c r="E20" s="50">
        <f>E19</f>
        <v>131957572.29000002</v>
      </c>
      <c r="F20" s="51">
        <v>129290000</v>
      </c>
      <c r="G20" s="53"/>
      <c r="H20" s="50">
        <f>H19</f>
        <v>54276767.850000001</v>
      </c>
      <c r="I20" s="51">
        <v>38918000</v>
      </c>
      <c r="J20" s="53"/>
      <c r="K20" s="50">
        <f>K19</f>
        <v>183041506.52000001</v>
      </c>
      <c r="L20" s="51">
        <v>167841000</v>
      </c>
      <c r="M20" s="54"/>
    </row>
    <row r="21" spans="1:13" ht="15.75" customHeight="1" x14ac:dyDescent="0.25">
      <c r="A21" s="40"/>
      <c r="B21" s="42"/>
      <c r="C21" s="42"/>
      <c r="D21" s="42"/>
      <c r="E21" s="42"/>
      <c r="F21" s="42"/>
      <c r="G21" s="42"/>
      <c r="H21" s="40"/>
      <c r="I21" s="42"/>
      <c r="J21" s="40"/>
      <c r="K21" s="40"/>
      <c r="L21" s="42"/>
      <c r="M21" s="40"/>
    </row>
    <row r="22" spans="1:13" ht="15.75" customHeight="1" x14ac:dyDescent="0.25">
      <c r="A22" s="40"/>
      <c r="B22" s="42"/>
      <c r="C22" s="55"/>
      <c r="D22" s="56"/>
      <c r="E22" s="57"/>
      <c r="F22" s="42"/>
      <c r="G22" s="42"/>
      <c r="H22" s="40"/>
      <c r="I22" s="42"/>
      <c r="J22" s="58"/>
      <c r="K22" s="40"/>
      <c r="L22" s="42"/>
      <c r="M22" s="40"/>
    </row>
    <row r="23" spans="1:13" ht="15.75" customHeight="1" thickBot="1" x14ac:dyDescent="0.25">
      <c r="A23" s="59"/>
      <c r="B23" s="42"/>
      <c r="C23" s="60"/>
      <c r="D23" s="42"/>
      <c r="E23" s="61"/>
      <c r="F23" s="42"/>
      <c r="G23" s="42"/>
      <c r="J23" s="62" t="s">
        <v>31</v>
      </c>
    </row>
    <row r="24" spans="1:13" ht="12.75" customHeight="1" x14ac:dyDescent="0.2">
      <c r="A24" s="231" t="s">
        <v>32</v>
      </c>
      <c r="B24" s="255" t="s">
        <v>55</v>
      </c>
      <c r="C24" s="256"/>
      <c r="D24" s="257"/>
      <c r="E24" s="261" t="s">
        <v>56</v>
      </c>
      <c r="F24" s="256"/>
      <c r="G24" s="257"/>
      <c r="H24" s="262" t="s">
        <v>57</v>
      </c>
      <c r="I24" s="256"/>
      <c r="J24" s="257"/>
      <c r="K24" s="63"/>
    </row>
    <row r="25" spans="1:13" ht="13.5" thickBot="1" x14ac:dyDescent="0.25">
      <c r="A25" s="232"/>
      <c r="B25" s="258"/>
      <c r="C25" s="259"/>
      <c r="D25" s="260"/>
      <c r="E25" s="258"/>
      <c r="F25" s="259"/>
      <c r="G25" s="260"/>
      <c r="H25" s="258"/>
      <c r="I25" s="259"/>
      <c r="J25" s="260"/>
      <c r="K25" s="63"/>
    </row>
    <row r="26" spans="1:13" ht="12.75" customHeight="1" x14ac:dyDescent="0.2">
      <c r="A26" s="232"/>
      <c r="B26" s="249" t="s">
        <v>58</v>
      </c>
      <c r="C26" s="223" t="s">
        <v>38</v>
      </c>
      <c r="D26" s="225" t="s">
        <v>39</v>
      </c>
      <c r="E26" s="249" t="s">
        <v>59</v>
      </c>
      <c r="F26" s="223" t="s">
        <v>38</v>
      </c>
      <c r="G26" s="225" t="s">
        <v>39</v>
      </c>
      <c r="H26" s="252" t="s">
        <v>21</v>
      </c>
      <c r="I26" s="223" t="s">
        <v>38</v>
      </c>
      <c r="J26" s="225" t="s">
        <v>39</v>
      </c>
      <c r="K26" s="245" t="s">
        <v>60</v>
      </c>
    </row>
    <row r="27" spans="1:13" ht="13.5" thickBot="1" x14ac:dyDescent="0.25">
      <c r="A27" s="233"/>
      <c r="B27" s="250"/>
      <c r="C27" s="224"/>
      <c r="D27" s="226"/>
      <c r="E27" s="250"/>
      <c r="F27" s="251"/>
      <c r="G27" s="226"/>
      <c r="H27" s="244"/>
      <c r="I27" s="224"/>
      <c r="J27" s="226"/>
      <c r="K27" s="246"/>
    </row>
    <row r="28" spans="1:13" ht="14.1" customHeight="1" x14ac:dyDescent="0.25">
      <c r="A28" s="164" t="s">
        <v>43</v>
      </c>
      <c r="B28" s="165">
        <f>103157844.05+3705625.4</f>
        <v>106863469.45</v>
      </c>
      <c r="C28" s="150">
        <f>C40/12</f>
        <v>136062583.33333334</v>
      </c>
      <c r="D28" s="152">
        <f>B28-C28</f>
        <v>-29199113.88333334</v>
      </c>
      <c r="E28" s="166">
        <f>297932194.59+35270116.05</f>
        <v>333202310.63999999</v>
      </c>
      <c r="F28" s="167">
        <f>F40/12</f>
        <v>324587583.33333331</v>
      </c>
      <c r="G28" s="168">
        <f>E28-F28</f>
        <v>8614727.3066666722</v>
      </c>
      <c r="H28" s="169">
        <f t="shared" ref="H28:H40" si="5">$B8+$E8+$H8+$K8+$B28+$E28</f>
        <v>643360163.25999999</v>
      </c>
      <c r="I28" s="167">
        <f>I40/12</f>
        <v>646299833.33333337</v>
      </c>
      <c r="J28" s="170">
        <f>H28-I28</f>
        <v>-2939670.0733333826</v>
      </c>
      <c r="K28" s="171">
        <f>J28/I40</f>
        <v>-3.7903847947423045E-4</v>
      </c>
    </row>
    <row r="29" spans="1:13" ht="14.1" customHeight="1" x14ac:dyDescent="0.2">
      <c r="A29" s="64" t="s">
        <v>44</v>
      </c>
      <c r="B29" s="65">
        <f>4082865.34+6037077.15+B28</f>
        <v>116983411.94</v>
      </c>
      <c r="C29" s="45">
        <f>C28*2</f>
        <v>272125166.66666669</v>
      </c>
      <c r="D29" s="46">
        <f t="shared" ref="D29:D39" si="6">B29-C29</f>
        <v>-155141754.72666669</v>
      </c>
      <c r="E29" s="66">
        <f>369687922.62+24091063.99+E28</f>
        <v>726981297.25</v>
      </c>
      <c r="F29" s="48">
        <f>F28*2</f>
        <v>649175166.66666663</v>
      </c>
      <c r="G29" s="46">
        <f t="shared" ref="G29:G39" si="7">E29-F29</f>
        <v>77806130.583333373</v>
      </c>
      <c r="H29" s="67">
        <f t="shared" si="5"/>
        <v>1239506895.01</v>
      </c>
      <c r="I29" s="48">
        <f>I28*2</f>
        <v>1292599666.6666667</v>
      </c>
      <c r="J29" s="46">
        <f t="shared" ref="J29:J39" si="8">H29-I29</f>
        <v>-53092771.656666756</v>
      </c>
      <c r="K29" s="68">
        <f>J29/I40</f>
        <v>-6.8457353845140963E-3</v>
      </c>
    </row>
    <row r="30" spans="1:13" ht="14.1" customHeight="1" x14ac:dyDescent="0.2">
      <c r="A30" s="172" t="s">
        <v>45</v>
      </c>
      <c r="B30" s="173">
        <f>6498575.54+281953401.35+B29</f>
        <v>405435388.83000004</v>
      </c>
      <c r="C30" s="158">
        <f>C28*3</f>
        <v>408187750</v>
      </c>
      <c r="D30" s="156">
        <f t="shared" si="6"/>
        <v>-2752361.1699999571</v>
      </c>
      <c r="E30" s="174">
        <f>164152322.73+17222897.39+E29</f>
        <v>908356517.37</v>
      </c>
      <c r="F30" s="158">
        <f>F28*3</f>
        <v>973762750</v>
      </c>
      <c r="G30" s="156">
        <f t="shared" si="7"/>
        <v>-65406232.629999995</v>
      </c>
      <c r="H30" s="69">
        <f t="shared" si="5"/>
        <v>1871535057.25</v>
      </c>
      <c r="I30" s="158">
        <f>I28*3</f>
        <v>1938899500</v>
      </c>
      <c r="J30" s="156">
        <f t="shared" si="8"/>
        <v>-67364442.75</v>
      </c>
      <c r="K30" s="175">
        <f>J30/I40</f>
        <v>-8.6859121308247283E-3</v>
      </c>
    </row>
    <row r="31" spans="1:13" ht="14.1" customHeight="1" x14ac:dyDescent="0.25">
      <c r="A31" s="172" t="s">
        <v>46</v>
      </c>
      <c r="B31" s="176">
        <f>63621866.19+30438551.55+B30</f>
        <v>499495806.57000005</v>
      </c>
      <c r="C31" s="155">
        <f>C28*4</f>
        <v>544250333.33333337</v>
      </c>
      <c r="D31" s="156">
        <f t="shared" si="6"/>
        <v>-44754526.763333321</v>
      </c>
      <c r="E31" s="174">
        <f>224217970.88+16208213.59+E30</f>
        <v>1148782701.8399999</v>
      </c>
      <c r="F31" s="155">
        <f>F28*4</f>
        <v>1298350333.3333333</v>
      </c>
      <c r="G31" s="156">
        <f t="shared" si="7"/>
        <v>-149567631.49333334</v>
      </c>
      <c r="H31" s="69">
        <f t="shared" si="5"/>
        <v>2351344225.0100002</v>
      </c>
      <c r="I31" s="155">
        <f>I28*4</f>
        <v>2585199333.3333335</v>
      </c>
      <c r="J31" s="156">
        <f t="shared" si="8"/>
        <v>-233855108.32333326</v>
      </c>
      <c r="K31" s="175">
        <f>J31/I40</f>
        <v>-3.0153072441781184E-2</v>
      </c>
    </row>
    <row r="32" spans="1:13" ht="14.1" customHeight="1" x14ac:dyDescent="0.2">
      <c r="A32" s="172" t="s">
        <v>47</v>
      </c>
      <c r="B32" s="173">
        <f>436290.95+6327765.28+B31</f>
        <v>506259862.80000007</v>
      </c>
      <c r="C32" s="155">
        <f>C28*5</f>
        <v>680312916.66666675</v>
      </c>
      <c r="D32" s="156">
        <f t="shared" si="6"/>
        <v>-174053053.86666667</v>
      </c>
      <c r="E32" s="174">
        <f>367729653.13+23679100.6+E31</f>
        <v>1540191455.5699999</v>
      </c>
      <c r="F32" s="155">
        <f>F28*5</f>
        <v>1622937916.6666665</v>
      </c>
      <c r="G32" s="156">
        <f t="shared" si="7"/>
        <v>-82746461.096666574</v>
      </c>
      <c r="H32" s="69">
        <f t="shared" si="5"/>
        <v>2926427263.6300001</v>
      </c>
      <c r="I32" s="155">
        <f>I28*5</f>
        <v>3231499166.666667</v>
      </c>
      <c r="J32" s="156">
        <f t="shared" si="8"/>
        <v>-305071903.03666687</v>
      </c>
      <c r="K32" s="175">
        <f>J32/I40</f>
        <v>-3.9335703454029834E-2</v>
      </c>
    </row>
    <row r="33" spans="1:13" ht="14.1" customHeight="1" x14ac:dyDescent="0.2">
      <c r="A33" s="172" t="s">
        <v>48</v>
      </c>
      <c r="B33" s="176">
        <f>11438771.78+231960801.62+B32</f>
        <v>749659436.20000005</v>
      </c>
      <c r="C33" s="155">
        <f>C28*6</f>
        <v>816375500</v>
      </c>
      <c r="D33" s="156">
        <f t="shared" si="6"/>
        <v>-66716063.799999952</v>
      </c>
      <c r="E33" s="174">
        <f>269432657.31+16282167.57+E32</f>
        <v>1825906280.4499998</v>
      </c>
      <c r="F33" s="155">
        <f>F28*6</f>
        <v>1947525500</v>
      </c>
      <c r="G33" s="156">
        <f t="shared" si="7"/>
        <v>-121619219.55000019</v>
      </c>
      <c r="H33" s="69">
        <f t="shared" si="5"/>
        <v>3651946915.8299999</v>
      </c>
      <c r="I33" s="155">
        <f>I28*6</f>
        <v>3877799000</v>
      </c>
      <c r="J33" s="156">
        <f t="shared" si="8"/>
        <v>-225852084.17000008</v>
      </c>
      <c r="K33" s="175">
        <f>J33/I40</f>
        <v>-2.9121169530705444E-2</v>
      </c>
    </row>
    <row r="34" spans="1:13" ht="14.1" customHeight="1" x14ac:dyDescent="0.2">
      <c r="A34" s="172" t="s">
        <v>49</v>
      </c>
      <c r="B34" s="173">
        <f>247511471+109836886.19+B33</f>
        <v>1107007793.3900001</v>
      </c>
      <c r="C34" s="155">
        <f>C28*7</f>
        <v>952438083.33333337</v>
      </c>
      <c r="D34" s="156">
        <f t="shared" si="6"/>
        <v>154569710.05666673</v>
      </c>
      <c r="E34" s="174">
        <f>278115364.36+34463201.29+E33</f>
        <v>2138484846.0999999</v>
      </c>
      <c r="F34" s="155">
        <f>F28*7</f>
        <v>2272113083.333333</v>
      </c>
      <c r="G34" s="156">
        <f t="shared" si="7"/>
        <v>-133628237.23333311</v>
      </c>
      <c r="H34" s="69">
        <f t="shared" si="5"/>
        <v>4539095144.0699997</v>
      </c>
      <c r="I34" s="155">
        <f>I28*7</f>
        <v>4524098833.333334</v>
      </c>
      <c r="J34" s="156">
        <f t="shared" si="8"/>
        <v>14996310.736665726</v>
      </c>
      <c r="K34" s="175">
        <f>J34/I40</f>
        <v>1.9336111459961856E-3</v>
      </c>
    </row>
    <row r="35" spans="1:13" ht="14.1" customHeight="1" x14ac:dyDescent="0.25">
      <c r="A35" s="172" t="s">
        <v>50</v>
      </c>
      <c r="B35" s="176">
        <f>0+B34</f>
        <v>1107007793.3900001</v>
      </c>
      <c r="C35" s="155">
        <f>C28*8</f>
        <v>1088500666.6666667</v>
      </c>
      <c r="D35" s="156">
        <f t="shared" si="6"/>
        <v>18507126.723333359</v>
      </c>
      <c r="E35" s="174">
        <f>361394693.03+29769585.38+E34</f>
        <v>2529649124.5099998</v>
      </c>
      <c r="F35" s="155">
        <f>F28*8</f>
        <v>2596700666.6666665</v>
      </c>
      <c r="G35" s="156">
        <f t="shared" si="7"/>
        <v>-67051542.156666756</v>
      </c>
      <c r="H35" s="69">
        <f t="shared" si="5"/>
        <v>5132088436.6399994</v>
      </c>
      <c r="I35" s="155">
        <f>I28*8</f>
        <v>5170398666.666667</v>
      </c>
      <c r="J35" s="156">
        <f t="shared" si="8"/>
        <v>-38310230.026667595</v>
      </c>
      <c r="K35" s="175">
        <f>J35/I40</f>
        <v>-4.9396874395330435E-3</v>
      </c>
    </row>
    <row r="36" spans="1:13" ht="14.1" customHeight="1" x14ac:dyDescent="0.2">
      <c r="A36" s="172" t="s">
        <v>51</v>
      </c>
      <c r="B36" s="173">
        <f>157121127.28+B35</f>
        <v>1264128920.6700001</v>
      </c>
      <c r="C36" s="155">
        <f>C28*9</f>
        <v>1224563250</v>
      </c>
      <c r="D36" s="156">
        <f t="shared" si="6"/>
        <v>39565670.670000076</v>
      </c>
      <c r="E36" s="174">
        <f>261499518.95+E35</f>
        <v>2791148643.4599996</v>
      </c>
      <c r="F36" s="155">
        <f>F28*9</f>
        <v>2921288250</v>
      </c>
      <c r="G36" s="156">
        <f t="shared" si="7"/>
        <v>-130139606.54000044</v>
      </c>
      <c r="H36" s="69">
        <f t="shared" si="5"/>
        <v>5725886862.8199997</v>
      </c>
      <c r="I36" s="155">
        <f>I28*9</f>
        <v>5816698500</v>
      </c>
      <c r="J36" s="156">
        <f t="shared" si="8"/>
        <v>-90811637.180000305</v>
      </c>
      <c r="K36" s="175">
        <f>J36/I40</f>
        <v>-1.1709172803954036E-2</v>
      </c>
    </row>
    <row r="37" spans="1:13" ht="14.1" customHeight="1" x14ac:dyDescent="0.2">
      <c r="A37" s="172" t="s">
        <v>52</v>
      </c>
      <c r="B37" s="176">
        <f>135502669.2+9694134.76+B36</f>
        <v>1409325724.6300001</v>
      </c>
      <c r="C37" s="155">
        <f>C28*10</f>
        <v>1360625833.3333335</v>
      </c>
      <c r="D37" s="156">
        <f t="shared" si="6"/>
        <v>48699891.296666622</v>
      </c>
      <c r="E37" s="174">
        <f>249370791.47+26401884.76+E36</f>
        <v>3066921319.6899996</v>
      </c>
      <c r="F37" s="155">
        <f>F28*10</f>
        <v>3245875833.333333</v>
      </c>
      <c r="G37" s="156">
        <f>E37-F37</f>
        <v>-178954513.64333344</v>
      </c>
      <c r="H37" s="69">
        <f t="shared" si="5"/>
        <v>6345340539.2799997</v>
      </c>
      <c r="I37" s="155">
        <f>I28*10</f>
        <v>6462998333.333334</v>
      </c>
      <c r="J37" s="156">
        <f t="shared" si="8"/>
        <v>-117657794.05333424</v>
      </c>
      <c r="K37" s="175">
        <f>J37/I40</f>
        <v>-1.5170692711681838E-2</v>
      </c>
    </row>
    <row r="38" spans="1:13" ht="14.1" customHeight="1" x14ac:dyDescent="0.25">
      <c r="A38" s="172" t="s">
        <v>53</v>
      </c>
      <c r="B38" s="176">
        <f>6018590.88+B37</f>
        <v>1415344315.5100002</v>
      </c>
      <c r="C38" s="155">
        <f>C28*11</f>
        <v>1496688416.6666667</v>
      </c>
      <c r="D38" s="156">
        <f t="shared" si="6"/>
        <v>-81344101.156666517</v>
      </c>
      <c r="E38" s="174">
        <f>399824897.2+26451215.74+E37</f>
        <v>3493197432.6299996</v>
      </c>
      <c r="F38" s="155">
        <f>F28*11</f>
        <v>3570463416.6666665</v>
      </c>
      <c r="G38" s="156">
        <f t="shared" si="7"/>
        <v>-77265984.03666687</v>
      </c>
      <c r="H38" s="69">
        <f t="shared" si="5"/>
        <v>6974474496.8099995</v>
      </c>
      <c r="I38" s="155">
        <f>I28*11</f>
        <v>7109298166.666667</v>
      </c>
      <c r="J38" s="156">
        <f t="shared" si="8"/>
        <v>-134823669.85666752</v>
      </c>
      <c r="K38" s="175">
        <f>J38/I40</f>
        <v>-1.738404567341777E-2</v>
      </c>
    </row>
    <row r="39" spans="1:13" ht="14.1" customHeight="1" thickBot="1" x14ac:dyDescent="0.25">
      <c r="A39" s="178" t="s">
        <v>54</v>
      </c>
      <c r="B39" s="179">
        <f>289657435.38+B38</f>
        <v>1705001750.8900003</v>
      </c>
      <c r="C39" s="161">
        <f>C28*12</f>
        <v>1632751000</v>
      </c>
      <c r="D39" s="180">
        <f t="shared" si="6"/>
        <v>72250750.890000343</v>
      </c>
      <c r="E39" s="174">
        <f>318015845.14+27365739.45+E38</f>
        <v>3838579017.2199998</v>
      </c>
      <c r="F39" s="161">
        <f>F28*12</f>
        <v>3895051000</v>
      </c>
      <c r="G39" s="156">
        <f t="shared" si="7"/>
        <v>-56471982.78000021</v>
      </c>
      <c r="H39" s="70">
        <f t="shared" si="5"/>
        <v>7846036640.2800007</v>
      </c>
      <c r="I39" s="182">
        <f>I28*12</f>
        <v>7755598000</v>
      </c>
      <c r="J39" s="183">
        <f t="shared" si="8"/>
        <v>90438640.280000687</v>
      </c>
      <c r="K39" s="175">
        <f>J39/I40</f>
        <v>1.1661078911000891E-2</v>
      </c>
    </row>
    <row r="40" spans="1:13" ht="15" customHeight="1" thickBot="1" x14ac:dyDescent="0.25">
      <c r="A40" s="49" t="s">
        <v>21</v>
      </c>
      <c r="B40" s="71">
        <f>B39</f>
        <v>1705001750.8900003</v>
      </c>
      <c r="C40" s="72">
        <v>1632751000</v>
      </c>
      <c r="D40" s="73"/>
      <c r="E40" s="50">
        <f>E39</f>
        <v>3838579017.2199998</v>
      </c>
      <c r="F40" s="51">
        <v>3895051000</v>
      </c>
      <c r="G40" s="74"/>
      <c r="H40" s="75">
        <f t="shared" si="5"/>
        <v>7846036640.2800007</v>
      </c>
      <c r="I40" s="76">
        <f>C20+F20+I20+L20+C40+F40</f>
        <v>7755598000</v>
      </c>
      <c r="J40" s="77"/>
      <c r="K40" s="78"/>
    </row>
    <row r="41" spans="1:13" x14ac:dyDescent="0.2">
      <c r="A41" s="59"/>
      <c r="B41" s="42"/>
      <c r="C41" s="42"/>
      <c r="D41" s="42"/>
      <c r="E41" s="42"/>
      <c r="F41" s="42"/>
      <c r="G41" s="42"/>
      <c r="H41" s="40"/>
      <c r="I41" s="42"/>
      <c r="J41" s="42"/>
      <c r="K41" s="42"/>
      <c r="L41" s="42"/>
      <c r="M41" s="42"/>
    </row>
    <row r="42" spans="1:13" x14ac:dyDescent="0.2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48"/>
      <c r="L42" s="248"/>
      <c r="M42" s="248"/>
    </row>
    <row r="43" spans="1:13" x14ac:dyDescent="0.2">
      <c r="K43" s="79"/>
      <c r="L43" s="80"/>
    </row>
    <row r="44" spans="1:13" x14ac:dyDescent="0.2">
      <c r="K44" s="79"/>
    </row>
    <row r="45" spans="1:13" x14ac:dyDescent="0.2">
      <c r="K45" s="79"/>
    </row>
    <row r="46" spans="1:13" x14ac:dyDescent="0.2">
      <c r="K46" s="79"/>
    </row>
    <row r="48" spans="1:13" x14ac:dyDescent="0.2">
      <c r="K48" s="81"/>
    </row>
  </sheetData>
  <mergeCells count="34">
    <mergeCell ref="K26:K27"/>
    <mergeCell ref="A42:M42"/>
    <mergeCell ref="E26:E27"/>
    <mergeCell ref="F26:F27"/>
    <mergeCell ref="G26:G27"/>
    <mergeCell ref="H26:H27"/>
    <mergeCell ref="I26:I27"/>
    <mergeCell ref="J26:J27"/>
    <mergeCell ref="A24:A27"/>
    <mergeCell ref="B24:D25"/>
    <mergeCell ref="E24:G25"/>
    <mergeCell ref="H24:J25"/>
    <mergeCell ref="B26:B27"/>
    <mergeCell ref="M6:M7"/>
    <mergeCell ref="E6:E7"/>
    <mergeCell ref="H6:H7"/>
    <mergeCell ref="I6:I7"/>
    <mergeCell ref="J6:J7"/>
    <mergeCell ref="F6:F7"/>
    <mergeCell ref="G6:G7"/>
    <mergeCell ref="C26:C27"/>
    <mergeCell ref="D26:D27"/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K6:K7"/>
    <mergeCell ref="L6:L7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T72"/>
  <sheetViews>
    <sheetView showGridLines="0" tabSelected="1" zoomScale="120" zoomScaleNormal="120" zoomScaleSheetLayoutView="110" workbookViewId="0">
      <selection activeCell="R84" sqref="R84"/>
    </sheetView>
  </sheetViews>
  <sheetFormatPr defaultColWidth="9.140625" defaultRowHeight="12.75" x14ac:dyDescent="0.2"/>
  <cols>
    <col min="1" max="1" width="3.7109375" style="83" customWidth="1"/>
    <col min="2" max="8" width="9.140625" style="83"/>
    <col min="9" max="9" width="9.140625" style="83" customWidth="1"/>
    <col min="10" max="19" width="9.140625" style="83"/>
    <col min="20" max="20" width="3.7109375" style="83" customWidth="1"/>
    <col min="21" max="16384" width="9.140625" style="83"/>
  </cols>
  <sheetData>
    <row r="1" spans="1:19" ht="28.5" x14ac:dyDescent="0.45">
      <c r="A1" s="82"/>
      <c r="B1" s="265" t="s">
        <v>83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6"/>
      <c r="S1" s="266"/>
    </row>
    <row r="2" spans="1:19" ht="20.45" x14ac:dyDescent="0.35">
      <c r="B2" s="267" t="s">
        <v>78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68"/>
      <c r="P2" s="268"/>
      <c r="Q2" s="268"/>
      <c r="R2" s="268"/>
      <c r="S2" s="268"/>
    </row>
    <row r="3" spans="1:19" ht="12.75" customHeight="1" x14ac:dyDescent="0.3">
      <c r="A3" s="84"/>
    </row>
    <row r="4" spans="1:19" ht="12.75" customHeight="1" x14ac:dyDescent="0.25"/>
    <row r="39" spans="11:20" x14ac:dyDescent="0.2">
      <c r="K39" s="85"/>
    </row>
    <row r="40" spans="11:20" x14ac:dyDescent="0.2">
      <c r="K40" s="85"/>
    </row>
    <row r="45" spans="11:20" x14ac:dyDescent="0.2">
      <c r="K45" s="86"/>
      <c r="L45" s="87"/>
      <c r="M45" s="87"/>
      <c r="N45" s="87"/>
      <c r="O45" s="87"/>
      <c r="P45" s="87"/>
      <c r="Q45" s="87"/>
      <c r="R45" s="87"/>
      <c r="S45" s="87"/>
    </row>
    <row r="46" spans="11:20" x14ac:dyDescent="0.2">
      <c r="L46" s="87"/>
      <c r="M46" s="87"/>
      <c r="N46" s="87"/>
      <c r="O46" s="87"/>
      <c r="P46" s="87"/>
      <c r="Q46" s="87"/>
      <c r="R46" s="87"/>
      <c r="S46" s="87"/>
    </row>
    <row r="47" spans="11:20" ht="5.65" customHeight="1" x14ac:dyDescent="0.2">
      <c r="L47" s="87"/>
      <c r="M47" s="87"/>
      <c r="N47" s="87"/>
      <c r="O47" s="87"/>
      <c r="P47" s="87"/>
      <c r="Q47" s="87"/>
      <c r="R47" s="87"/>
      <c r="S47" s="87"/>
    </row>
    <row r="48" spans="11:20" ht="15" x14ac:dyDescent="0.25">
      <c r="K48" s="269" t="s">
        <v>61</v>
      </c>
      <c r="L48" s="270"/>
      <c r="M48" s="270"/>
      <c r="N48" s="270"/>
      <c r="O48" s="270"/>
      <c r="P48" s="270"/>
      <c r="Q48" s="270"/>
      <c r="R48" s="270"/>
      <c r="S48" s="270"/>
      <c r="T48" s="270"/>
    </row>
    <row r="49" spans="1:19" ht="28.5" x14ac:dyDescent="0.45">
      <c r="A49" s="82"/>
      <c r="B49" s="265" t="s">
        <v>84</v>
      </c>
      <c r="C49" s="266"/>
      <c r="D49" s="266"/>
      <c r="E49" s="266"/>
      <c r="F49" s="266"/>
      <c r="G49" s="266"/>
      <c r="H49" s="266"/>
      <c r="I49" s="266"/>
      <c r="J49" s="266"/>
      <c r="K49" s="266"/>
      <c r="L49" s="266"/>
      <c r="M49" s="266"/>
      <c r="N49" s="266"/>
      <c r="O49" s="266"/>
      <c r="P49" s="266"/>
      <c r="Q49" s="266"/>
      <c r="R49" s="266"/>
      <c r="S49" s="266"/>
    </row>
    <row r="50" spans="1:19" ht="20.25" x14ac:dyDescent="0.3">
      <c r="B50" s="267" t="s">
        <v>78</v>
      </c>
      <c r="C50" s="228"/>
      <c r="D50" s="228"/>
      <c r="E50" s="228"/>
      <c r="F50" s="228"/>
      <c r="G50" s="228"/>
      <c r="H50" s="228"/>
      <c r="I50" s="228"/>
      <c r="J50" s="228"/>
      <c r="K50" s="228"/>
      <c r="L50" s="228"/>
      <c r="M50" s="228"/>
      <c r="N50" s="228"/>
      <c r="O50" s="268"/>
      <c r="P50" s="268"/>
      <c r="Q50" s="268"/>
      <c r="R50" s="268"/>
      <c r="S50" s="268"/>
    </row>
    <row r="51" spans="1:19" ht="12.75" customHeight="1" x14ac:dyDescent="0.2"/>
    <row r="72" spans="11:19" x14ac:dyDescent="0.2">
      <c r="K72" s="263"/>
      <c r="L72" s="264"/>
      <c r="M72" s="264"/>
      <c r="N72" s="264"/>
      <c r="O72" s="264"/>
      <c r="P72" s="264"/>
      <c r="Q72" s="264"/>
      <c r="R72" s="264"/>
      <c r="S72" s="264"/>
    </row>
  </sheetData>
  <mergeCells count="6">
    <mergeCell ref="B1:S1"/>
    <mergeCell ref="B2:S2"/>
    <mergeCell ref="B49:S49"/>
    <mergeCell ref="B50:S50"/>
    <mergeCell ref="K72:S72"/>
    <mergeCell ref="K48:T48"/>
  </mergeCells>
  <printOptions horizontalCentered="1"/>
  <pageMargins left="0.51181102362204722" right="0.51181102362204722" top="0.51181102362204722" bottom="0.51181102362204722" header="0.51181102362204722" footer="0.51181102362204722"/>
  <pageSetup paperSize="9" scale="7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listy</vt:lpstr>
      </vt:variant>
      <vt:variant>
        <vt:i4>8</vt:i4>
      </vt:variant>
      <vt:variant>
        <vt:lpstr>grafy</vt:lpstr>
      </vt:variant>
      <vt:variant>
        <vt:i4>10</vt:i4>
      </vt:variant>
      <vt:variant>
        <vt:lpstr>Pojmenované oblasti</vt:lpstr>
      </vt:variant>
      <vt:variant>
        <vt:i4>6</vt:i4>
      </vt:variant>
    </vt:vector>
  </HeadingPairs>
  <TitlesOfParts>
    <vt:vector size="24" baseType="lpstr">
      <vt:lpstr>data koláče</vt:lpstr>
      <vt:lpstr>data výdaje</vt:lpstr>
      <vt:lpstr>data MOb</vt:lpstr>
      <vt:lpstr>data daně</vt:lpstr>
      <vt:lpstr>2019 (měs)</vt:lpstr>
      <vt:lpstr>Grafy2019 (měs)</vt:lpstr>
      <vt:lpstr>2019 (kum)</vt:lpstr>
      <vt:lpstr>Grafy2019 (kum)</vt:lpstr>
      <vt:lpstr>Graf1 Příjmy</vt:lpstr>
      <vt:lpstr>Graf2 BV+KV</vt:lpstr>
      <vt:lpstr>Graf3 BV</vt:lpstr>
      <vt:lpstr>Graf4 KV</vt:lpstr>
      <vt:lpstr>Graf1 BV</vt:lpstr>
      <vt:lpstr>Graf2 KV</vt:lpstr>
      <vt:lpstr>Graf3 BV + KV</vt:lpstr>
      <vt:lpstr>Graf NIV MOb</vt:lpstr>
      <vt:lpstr>Graf INV MOb</vt:lpstr>
      <vt:lpstr>Graf1 daně</vt:lpstr>
      <vt:lpstr>'2019 (kum)'!Oblast_tisku</vt:lpstr>
      <vt:lpstr>'2019 (měs)'!Oblast_tisku</vt:lpstr>
      <vt:lpstr>'data MOb'!Oblast_tisku</vt:lpstr>
      <vt:lpstr>'data výdaje'!Oblast_tisku</vt:lpstr>
      <vt:lpstr>'Grafy2019 (kum)'!Oblast_tisku</vt:lpstr>
      <vt:lpstr>'Grafy2019 (měs)'!Oblast_tisku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Wegiel David</dc:creator>
  <cp:lastModifiedBy>Dannhoferová Irena</cp:lastModifiedBy>
  <cp:lastPrinted>2020-06-22T08:41:35Z</cp:lastPrinted>
  <dcterms:created xsi:type="dcterms:W3CDTF">2019-05-24T08:41:31Z</dcterms:created>
  <dcterms:modified xsi:type="dcterms:W3CDTF">2020-06-22T08:43:48Z</dcterms:modified>
</cp:coreProperties>
</file>