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8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omments2.xml" ContentType="application/vnd.openxmlformats-officedocument.spreadsheetml.comments+xml"/>
  <Override PartName="/xl/drawings/drawing21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omments3.xml" ContentType="application/vnd.openxmlformats-officedocument.spreadsheetml.comments+xml"/>
  <Override PartName="/xl/drawings/drawing22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3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24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drawings/drawing25.xml" ContentType="application/vnd.openxmlformats-officedocument.drawing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26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omments4.xml" ContentType="application/vnd.openxmlformats-officedocument.spreadsheetml.comments+xml"/>
  <Override PartName="/xl/drawings/drawing27.xml" ContentType="application/vnd.openxmlformats-officedocument.drawing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omments5.xml" ContentType="application/vnd.openxmlformats-officedocument.spreadsheetml.comments+xml"/>
  <Override PartName="/xl/drawings/drawing28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drawings/drawing29.xml" ContentType="application/vnd.openxmlformats-officedocument.drawing+xml"/>
  <Override PartName="/xl/charts/chart10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1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1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1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1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1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1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0.xml" ContentType="application/vnd.openxmlformats-officedocument.drawing+xml"/>
  <Override PartName="/xl/charts/chart11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11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118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11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12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12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12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1.xml" ContentType="application/vnd.openxmlformats-officedocument.drawing+xml"/>
  <Override PartName="/xl/charts/chart12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12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12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12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12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12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12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2.xml" ContentType="application/vnd.openxmlformats-officedocument.drawing+xml"/>
  <Override PartName="/xl/charts/chart13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13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13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13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13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13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13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33.xml" ContentType="application/vnd.openxmlformats-officedocument.drawing+xml"/>
  <Override PartName="/xl/charts/chart137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138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139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140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141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142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143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34.xml" ContentType="application/vnd.openxmlformats-officedocument.drawing+xml"/>
  <Override PartName="/xl/charts/chart144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145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146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147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148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149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150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35.xml" ContentType="application/vnd.openxmlformats-officedocument.drawing+xml"/>
  <Override PartName="/xl/charts/chart151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152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153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154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15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15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15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36.xml" ContentType="application/vnd.openxmlformats-officedocument.drawing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drawings/drawing37.xml" ContentType="application/vnd.openxmlformats-officedocument.drawing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drawings/drawing38.xml" ContentType="application/vnd.openxmlformats-officedocument.drawing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drawings/drawing39.xml" ContentType="application/vnd.openxmlformats-officedocument.drawing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drawings/drawing40.xml" ContentType="application/vnd.openxmlformats-officedocument.drawing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drawings/drawing41.xml" ContentType="application/vnd.openxmlformats-officedocument.drawing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drawings/drawing42.xml" ContentType="application/vnd.openxmlformats-officedocument.drawing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drawings/drawing43.xml" ContentType="application/vnd.openxmlformats-officedocument.drawing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drawings/drawing44.xml" ContentType="application/vnd.openxmlformats-officedocument.drawing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drawings/drawing45.xml" ContentType="application/vnd.openxmlformats-officedocument.drawing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drawings/drawing46.xml" ContentType="application/vnd.openxmlformats-officedocument.drawing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drawings/drawing47.xml" ContentType="application/vnd.openxmlformats-officedocument.drawing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drawings/drawing48.xml" ContentType="application/vnd.openxmlformats-officedocument.drawing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drawings/drawing49.xml" ContentType="application/vnd.openxmlformats-officedocument.drawing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drawings/drawing50.xml" ContentType="application/vnd.openxmlformats-officedocument.drawing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loud.mmo.cz\users$\wegielda\Documents\Pracovní materiály\01. DANĚ\= 2025 =\"/>
    </mc:Choice>
  </mc:AlternateContent>
  <xr:revisionPtr revIDLastSave="0" documentId="13_ncr:1_{F6912836-B5EB-45E3-9B17-C0045D2DAD16}" xr6:coauthVersionLast="47" xr6:coauthVersionMax="47" xr10:uidLastSave="{00000000-0000-0000-0000-000000000000}"/>
  <bookViews>
    <workbookView xWindow="-120" yWindow="-120" windowWidth="29040" windowHeight="15720" tabRatio="922" firstSheet="65" activeTab="70" xr2:uid="{00000000-000D-0000-FFFF-FFFF00000000}"/>
  </bookViews>
  <sheets>
    <sheet name="Vývoj2015-24" sheetId="92" r:id="rId1"/>
    <sheet name="Grafy2015-24" sheetId="93" r:id="rId2"/>
    <sheet name="Graf FO plátci 10let" sheetId="94" r:id="rId3"/>
    <sheet name="Graf FO poplatníci 10let" sheetId="95" r:id="rId4"/>
    <sheet name="Graf FO srážkou 10let" sheetId="96" r:id="rId5"/>
    <sheet name="Graf PO 10let" sheetId="97" r:id="rId6"/>
    <sheet name="Graf DPH 10let" sheetId="98" r:id="rId7"/>
    <sheet name="Graf daně celkem 10let" sheetId="99" r:id="rId8"/>
    <sheet name="2012 (měs)" sheetId="9" state="hidden" r:id="rId9"/>
    <sheet name="Grafy2012 (měs)" sheetId="10" state="hidden" r:id="rId10"/>
    <sheet name="2012 (kum)" sheetId="17" state="hidden" r:id="rId11"/>
    <sheet name="Grafy2012 (kum)" sheetId="16" state="hidden" r:id="rId12"/>
    <sheet name="2013 (měs)" sheetId="18" state="hidden" r:id="rId13"/>
    <sheet name="Grafy2013 (měs)" sheetId="19" state="hidden" r:id="rId14"/>
    <sheet name="2013 (kum)" sheetId="21" state="hidden" r:id="rId15"/>
    <sheet name="Grafy2013 (kum)" sheetId="20" state="hidden" r:id="rId16"/>
    <sheet name="2014 (měs)" sheetId="22" state="hidden" r:id="rId17"/>
    <sheet name="Grafy2014 (měs)" sheetId="23" state="hidden" r:id="rId18"/>
    <sheet name="2014 (kum)" sheetId="24" state="hidden" r:id="rId19"/>
    <sheet name="Grafy2014 (kum)" sheetId="25" state="hidden" r:id="rId20"/>
    <sheet name="2015 (měs)" sheetId="26" state="hidden" r:id="rId21"/>
    <sheet name="Grafy2015 (měs)" sheetId="27" state="hidden" r:id="rId22"/>
    <sheet name="2015 (kum)" sheetId="28" state="hidden" r:id="rId23"/>
    <sheet name="Grafy2015 (kum)" sheetId="29" state="hidden" r:id="rId24"/>
    <sheet name="2016 (měs)" sheetId="31" state="hidden" r:id="rId25"/>
    <sheet name="Grafy2016 (měs)" sheetId="32" state="hidden" r:id="rId26"/>
    <sheet name="2016 (kum)" sheetId="33" state="hidden" r:id="rId27"/>
    <sheet name="Grafy2016 (kum)" sheetId="34" state="hidden" r:id="rId28"/>
    <sheet name="2017 (měs)" sheetId="37" state="hidden" r:id="rId29"/>
    <sheet name="Grafy2017 (měs)" sheetId="38" state="hidden" r:id="rId30"/>
    <sheet name="2017 (kum)" sheetId="39" state="hidden" r:id="rId31"/>
    <sheet name="Grafy2017 (kum)" sheetId="40" state="hidden" r:id="rId32"/>
    <sheet name="2018 (měs)" sheetId="42" state="hidden" r:id="rId33"/>
    <sheet name="Grafy2018 (měs)" sheetId="43" state="hidden" r:id="rId34"/>
    <sheet name="2018 (kum)" sheetId="44" state="hidden" r:id="rId35"/>
    <sheet name="Grafy2018 (kum)" sheetId="45" state="hidden" r:id="rId36"/>
    <sheet name="2019 (měs)" sheetId="47" state="hidden" r:id="rId37"/>
    <sheet name="Grafy2019 (měs)" sheetId="63" state="hidden" r:id="rId38"/>
    <sheet name="2019 (kum)" sheetId="49" state="hidden" r:id="rId39"/>
    <sheet name="Grafy2019 (kum)" sheetId="62" state="hidden" r:id="rId40"/>
    <sheet name="2020 (měs)" sheetId="65" state="hidden" r:id="rId41"/>
    <sheet name="Grafy2020 (měs)" sheetId="66" state="hidden" r:id="rId42"/>
    <sheet name="2020 (kum)" sheetId="67" state="hidden" r:id="rId43"/>
    <sheet name="Grafy2020 (kum)" sheetId="68" state="hidden" r:id="rId44"/>
    <sheet name="Srovnání2020 (měs)" sheetId="69" state="hidden" r:id="rId45"/>
    <sheet name="Grafy2020 (srovnani2019)" sheetId="70" state="hidden" r:id="rId46"/>
    <sheet name="2021 (měs)" sheetId="71" state="hidden" r:id="rId47"/>
    <sheet name="Grafy2021 (měs)" sheetId="78" state="hidden" r:id="rId48"/>
    <sheet name="2021 (kum)" sheetId="73" state="hidden" r:id="rId49"/>
    <sheet name="Grafy2021 (kum)" sheetId="79" state="hidden" r:id="rId50"/>
    <sheet name="Srovnání2021 (měs)" sheetId="75" state="hidden" r:id="rId51"/>
    <sheet name="Grafy2021 (srovnani2020)" sheetId="77" state="hidden" r:id="rId52"/>
    <sheet name="2022 (měs)" sheetId="80" state="hidden" r:id="rId53"/>
    <sheet name="Grafy2022 (měs)" sheetId="81" state="hidden" r:id="rId54"/>
    <sheet name="2022 (kum)" sheetId="82" state="hidden" r:id="rId55"/>
    <sheet name="Grafy2022 (kum)" sheetId="83" state="hidden" r:id="rId56"/>
    <sheet name="Srovnání2022 (měs)" sheetId="84" state="hidden" r:id="rId57"/>
    <sheet name="Grafy2022 (srovnani2021)" sheetId="85" state="hidden" r:id="rId58"/>
    <sheet name="2023 (měs)" sheetId="86" state="hidden" r:id="rId59"/>
    <sheet name="Grafy2023 (měs)" sheetId="87" state="hidden" r:id="rId60"/>
    <sheet name="2023 (kum)" sheetId="88" state="hidden" r:id="rId61"/>
    <sheet name="Grafy2023 (kum)" sheetId="89" state="hidden" r:id="rId62"/>
    <sheet name="Srovnání2023 (měs)" sheetId="90" state="hidden" r:id="rId63"/>
    <sheet name="Grafy2023 (srovnani2022)" sheetId="91" state="hidden" r:id="rId64"/>
    <sheet name="2024 (měs)" sheetId="100" r:id="rId65"/>
    <sheet name="Grafy2024 (měs)" sheetId="101" r:id="rId66"/>
    <sheet name="2024 (kum)" sheetId="102" r:id="rId67"/>
    <sheet name="Grafy2024 (kum)" sheetId="103" r:id="rId68"/>
    <sheet name="Srovnání2024 (měs)" sheetId="104" r:id="rId69"/>
    <sheet name="Grafy2024 (srovnani2023)" sheetId="105" r:id="rId70"/>
    <sheet name="2025 (měs)" sheetId="106" r:id="rId71"/>
    <sheet name="Grafy2025 (měs)" sheetId="107" r:id="rId72"/>
    <sheet name="2025 (kum)" sheetId="108" r:id="rId73"/>
    <sheet name="Grafy2025 (kum)" sheetId="109" r:id="rId74"/>
    <sheet name="Srovnání2025 (měs)" sheetId="110" r:id="rId75"/>
    <sheet name="Grafy2025 (srovnani2024)" sheetId="111" r:id="rId76"/>
  </sheets>
  <definedNames>
    <definedName name="_xlnm.Print_Area" localSheetId="10">'2012 (kum)'!$A$1:$M$40</definedName>
    <definedName name="_xlnm.Print_Area" localSheetId="8">'2012 (měs)'!$A$1:$M$40</definedName>
    <definedName name="_xlnm.Print_Area" localSheetId="34">'2018 (kum)'!$A$1:$M$40</definedName>
    <definedName name="_xlnm.Print_Area" localSheetId="32">'2018 (měs)'!$A$1:$M$40</definedName>
    <definedName name="_xlnm.Print_Area" localSheetId="38">'2019 (kum)'!$A$1:$M$40</definedName>
    <definedName name="_xlnm.Print_Area" localSheetId="36">'2019 (měs)'!$A$1:$M$40</definedName>
    <definedName name="_xlnm.Print_Area" localSheetId="42">'2020 (kum)'!$A$1:$M$41</definedName>
    <definedName name="_xlnm.Print_Area" localSheetId="40">'2020 (měs)'!$A$1:$M$41</definedName>
    <definedName name="_xlnm.Print_Area" localSheetId="48">'2021 (kum)'!$A$1:$M$41</definedName>
    <definedName name="_xlnm.Print_Area" localSheetId="46">'2021 (měs)'!$A$1:$M$40</definedName>
    <definedName name="_xlnm.Print_Area" localSheetId="54">'2022 (kum)'!$A$1:$M$40</definedName>
    <definedName name="_xlnm.Print_Area" localSheetId="52">'2022 (měs)'!$A$1:$M$40</definedName>
    <definedName name="_xlnm.Print_Area" localSheetId="60">'2023 (kum)'!$A$1:$M$41</definedName>
    <definedName name="_xlnm.Print_Area" localSheetId="58">'2023 (měs)'!$A$1:$M$41</definedName>
    <definedName name="_xlnm.Print_Area" localSheetId="66">'2024 (kum)'!$A$1:$M$40</definedName>
    <definedName name="_xlnm.Print_Area" localSheetId="64">'2024 (měs)'!$A$1:$M$40</definedName>
    <definedName name="_xlnm.Print_Area" localSheetId="72">'2025 (kum)'!$A$1:$M$40</definedName>
    <definedName name="_xlnm.Print_Area" localSheetId="70">'2025 (měs)'!$A$1:$M$40</definedName>
    <definedName name="_xlnm.Print_Area" localSheetId="11">'Grafy2012 (kum)'!$A$1:$T$94</definedName>
    <definedName name="_xlnm.Print_Area" localSheetId="9">'Grafy2012 (měs)'!$A$1:$T$94</definedName>
    <definedName name="_xlnm.Print_Area" localSheetId="15">'Grafy2013 (kum)'!$A$1:$T$94</definedName>
    <definedName name="_xlnm.Print_Area" localSheetId="13">'Grafy2013 (měs)'!$A$1:$T$94</definedName>
    <definedName name="_xlnm.Print_Area" localSheetId="19">'Grafy2014 (kum)'!$A$1:$T$94</definedName>
    <definedName name="_xlnm.Print_Area" localSheetId="17">'Grafy2014 (měs)'!$A$1:$T$94</definedName>
    <definedName name="_xlnm.Print_Area" localSheetId="23">'Grafy2015 (kum)'!$A$1:$T$94</definedName>
    <definedName name="_xlnm.Print_Area" localSheetId="21">'Grafy2015 (měs)'!$A$1:$T$94</definedName>
    <definedName name="_xlnm.Print_Area" localSheetId="1">'Grafy2015-24'!$A$1:$O$82</definedName>
    <definedName name="_xlnm.Print_Area" localSheetId="27">'Grafy2016 (kum)'!$A$1:$T$94</definedName>
    <definedName name="_xlnm.Print_Area" localSheetId="25">'Grafy2016 (měs)'!$A$1:$T$94</definedName>
    <definedName name="_xlnm.Print_Area" localSheetId="31">'Grafy2017 (kum)'!$A$1:$T$94</definedName>
    <definedName name="_xlnm.Print_Area" localSheetId="29">'Grafy2017 (měs)'!$A$1:$T$94</definedName>
    <definedName name="_xlnm.Print_Area" localSheetId="35">'Grafy2018 (kum)'!$A$1:$T$96</definedName>
    <definedName name="_xlnm.Print_Area" localSheetId="33">'Grafy2018 (měs)'!$A$1:$T$98</definedName>
    <definedName name="_xlnm.Print_Area" localSheetId="39">'Grafy2019 (kum)'!$A$1:$T$96</definedName>
    <definedName name="_xlnm.Print_Area" localSheetId="37">'Grafy2019 (měs)'!$A$1:$T$98</definedName>
    <definedName name="_xlnm.Print_Area" localSheetId="43">'Grafy2020 (kum)'!$A$1:$T$96</definedName>
    <definedName name="_xlnm.Print_Area" localSheetId="41">'Grafy2020 (měs)'!$A$1:$T$98</definedName>
    <definedName name="_xlnm.Print_Area" localSheetId="45">'Grafy2020 (srovnani2019)'!$A$1:$T$96</definedName>
    <definedName name="_xlnm.Print_Area" localSheetId="49">'Grafy2021 (kum)'!$A$1:$O$76</definedName>
    <definedName name="_xlnm.Print_Area" localSheetId="47">'Grafy2021 (měs)'!$A$1:$O$74</definedName>
    <definedName name="_xlnm.Print_Area" localSheetId="51">'Grafy2021 (srovnani2020)'!$A$1:$O$78</definedName>
    <definedName name="_xlnm.Print_Area" localSheetId="55">'Grafy2022 (kum)'!$A$1:$O$75</definedName>
    <definedName name="_xlnm.Print_Area" localSheetId="53">'Grafy2022 (měs)'!$A$1:$O$74</definedName>
    <definedName name="_xlnm.Print_Area" localSheetId="57">'Grafy2022 (srovnani2021)'!$A$1:$O$79</definedName>
    <definedName name="_xlnm.Print_Area" localSheetId="61">'Grafy2023 (kum)'!$A$1:$O$76</definedName>
    <definedName name="_xlnm.Print_Area" localSheetId="59">'Grafy2023 (měs)'!$A$1:$O$74</definedName>
    <definedName name="_xlnm.Print_Area" localSheetId="63">'Grafy2023 (srovnani2022)'!$A$1:$O$79</definedName>
    <definedName name="_xlnm.Print_Area" localSheetId="67">'Grafy2024 (kum)'!$A$1:$O$75</definedName>
    <definedName name="_xlnm.Print_Area" localSheetId="65">'Grafy2024 (měs)'!$A$1:$O$74</definedName>
    <definedName name="_xlnm.Print_Area" localSheetId="69">'Grafy2024 (srovnani2023)'!$A$1:$O$79</definedName>
    <definedName name="_xlnm.Print_Area" localSheetId="73">'Grafy2025 (kum)'!$A$1:$O$75</definedName>
    <definedName name="_xlnm.Print_Area" localSheetId="71">'Grafy2025 (měs)'!$A$1:$O$74</definedName>
    <definedName name="_xlnm.Print_Area" localSheetId="75">'Grafy2025 (srovnani2024)'!$A$1:$O$79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10" l="1"/>
  <c r="I15" i="110"/>
  <c r="E15" i="110"/>
  <c r="Q15" i="110"/>
  <c r="E35" i="110"/>
  <c r="E33" i="108"/>
  <c r="E13" i="108"/>
  <c r="B13" i="108"/>
  <c r="K13" i="108"/>
  <c r="B33" i="108"/>
  <c r="E13" i="106"/>
  <c r="B13" i="106"/>
  <c r="K13" i="106"/>
  <c r="B33" i="106"/>
  <c r="I34" i="110"/>
  <c r="I14" i="110"/>
  <c r="E14" i="110"/>
  <c r="Q14" i="110"/>
  <c r="E34" i="110"/>
  <c r="E32" i="108"/>
  <c r="E12" i="108"/>
  <c r="B12" i="108"/>
  <c r="K12" i="108"/>
  <c r="B32" i="108"/>
  <c r="B32" i="106"/>
  <c r="C32" i="106"/>
  <c r="D32" i="106"/>
  <c r="E32" i="106"/>
  <c r="G32" i="106" s="1"/>
  <c r="F32" i="106"/>
  <c r="I32" i="106"/>
  <c r="E12" i="106"/>
  <c r="B12" i="106"/>
  <c r="K12" i="106"/>
  <c r="I33" i="110"/>
  <c r="I13" i="110"/>
  <c r="E13" i="110"/>
  <c r="Q13" i="110"/>
  <c r="E33" i="110"/>
  <c r="E31" i="108"/>
  <c r="E11" i="108"/>
  <c r="B11" i="108"/>
  <c r="K11" i="108"/>
  <c r="B31" i="108"/>
  <c r="E31" i="106"/>
  <c r="E11" i="106"/>
  <c r="B11" i="106"/>
  <c r="K11" i="106"/>
  <c r="B31" i="106"/>
  <c r="I32" i="110"/>
  <c r="I12" i="110"/>
  <c r="E12" i="110"/>
  <c r="Q12" i="110"/>
  <c r="M12" i="110"/>
  <c r="E32" i="110"/>
  <c r="E30" i="108"/>
  <c r="E10" i="108"/>
  <c r="B10" i="108"/>
  <c r="K10" i="108"/>
  <c r="H10" i="108"/>
  <c r="B30" i="108"/>
  <c r="E30" i="106"/>
  <c r="E10" i="106"/>
  <c r="B10" i="106"/>
  <c r="K10" i="106"/>
  <c r="H10" i="106"/>
  <c r="B30" i="106"/>
  <c r="I31" i="110"/>
  <c r="I11" i="110"/>
  <c r="E11" i="110"/>
  <c r="Q11" i="110"/>
  <c r="M11" i="110"/>
  <c r="E31" i="110"/>
  <c r="E29" i="108"/>
  <c r="E9" i="108"/>
  <c r="B9" i="108"/>
  <c r="K9" i="108"/>
  <c r="H9" i="108"/>
  <c r="B29" i="108"/>
  <c r="E29" i="106"/>
  <c r="E9" i="106"/>
  <c r="B9" i="106"/>
  <c r="K9" i="106"/>
  <c r="H9" i="106"/>
  <c r="B29" i="106"/>
  <c r="K35" i="110"/>
  <c r="I30" i="110"/>
  <c r="E30" i="110"/>
  <c r="M37" i="110"/>
  <c r="M41" i="110"/>
  <c r="M30" i="110"/>
  <c r="Q10" i="110"/>
  <c r="M10" i="110"/>
  <c r="I10" i="110"/>
  <c r="E10" i="110"/>
  <c r="H42" i="110"/>
  <c r="G42" i="110"/>
  <c r="F42" i="110"/>
  <c r="D42" i="110"/>
  <c r="C42" i="110"/>
  <c r="B42" i="110"/>
  <c r="L41" i="110"/>
  <c r="K41" i="110"/>
  <c r="J41" i="110"/>
  <c r="L40" i="110"/>
  <c r="K40" i="110"/>
  <c r="J40" i="110"/>
  <c r="L39" i="110"/>
  <c r="K39" i="110"/>
  <c r="J39" i="110"/>
  <c r="L38" i="110"/>
  <c r="K38" i="110"/>
  <c r="J38" i="110"/>
  <c r="L37" i="110"/>
  <c r="K37" i="110"/>
  <c r="J37" i="110"/>
  <c r="L36" i="110"/>
  <c r="K36" i="110"/>
  <c r="J36" i="110"/>
  <c r="L35" i="110"/>
  <c r="J35" i="110"/>
  <c r="L34" i="110"/>
  <c r="K34" i="110"/>
  <c r="J34" i="110"/>
  <c r="L33" i="110"/>
  <c r="K33" i="110"/>
  <c r="J33" i="110"/>
  <c r="L32" i="110"/>
  <c r="K32" i="110"/>
  <c r="J32" i="110"/>
  <c r="L31" i="110"/>
  <c r="K31" i="110"/>
  <c r="J31" i="110"/>
  <c r="L30" i="110"/>
  <c r="K30" i="110"/>
  <c r="J30" i="110"/>
  <c r="P22" i="110"/>
  <c r="O22" i="110"/>
  <c r="N22" i="110"/>
  <c r="L22" i="110"/>
  <c r="K22" i="110"/>
  <c r="J22" i="110"/>
  <c r="H22" i="110"/>
  <c r="G22" i="110"/>
  <c r="F22" i="110"/>
  <c r="D22" i="110"/>
  <c r="C22" i="110"/>
  <c r="B22" i="110"/>
  <c r="M40" i="110"/>
  <c r="M39" i="110"/>
  <c r="M38" i="110"/>
  <c r="M36" i="110"/>
  <c r="E28" i="108"/>
  <c r="B28" i="108"/>
  <c r="K8" i="108"/>
  <c r="H8" i="108"/>
  <c r="E8" i="108"/>
  <c r="B8" i="108"/>
  <c r="M35" i="110" l="1"/>
  <c r="H32" i="106"/>
  <c r="J32" i="106" s="1"/>
  <c r="K32" i="106" s="1"/>
  <c r="M34" i="110"/>
  <c r="I42" i="110"/>
  <c r="M33" i="110"/>
  <c r="I22" i="110"/>
  <c r="M32" i="110"/>
  <c r="M22" i="110"/>
  <c r="Q22" i="110"/>
  <c r="M31" i="110"/>
  <c r="E42" i="110"/>
  <c r="J42" i="110"/>
  <c r="K42" i="110"/>
  <c r="L42" i="110"/>
  <c r="E22" i="110"/>
  <c r="M42" i="110" l="1"/>
  <c r="E34" i="108" l="1"/>
  <c r="E35" i="108" s="1"/>
  <c r="E36" i="108" s="1"/>
  <c r="E37" i="108" s="1"/>
  <c r="E38" i="108" s="1"/>
  <c r="E39" i="108" s="1"/>
  <c r="B34" i="108"/>
  <c r="B35" i="108" s="1"/>
  <c r="B36" i="108" s="1"/>
  <c r="B37" i="108" s="1"/>
  <c r="B38" i="108" s="1"/>
  <c r="B39" i="108" s="1"/>
  <c r="K14" i="108"/>
  <c r="K15" i="108" s="1"/>
  <c r="K16" i="108" s="1"/>
  <c r="K17" i="108" s="1"/>
  <c r="K18" i="108" s="1"/>
  <c r="K19" i="108" s="1"/>
  <c r="H11" i="108"/>
  <c r="H12" i="108" s="1"/>
  <c r="H13" i="108" s="1"/>
  <c r="H14" i="108" s="1"/>
  <c r="H15" i="108" s="1"/>
  <c r="H16" i="108" s="1"/>
  <c r="H17" i="108" s="1"/>
  <c r="H18" i="108" s="1"/>
  <c r="H19" i="108" s="1"/>
  <c r="E14" i="108"/>
  <c r="E15" i="108" s="1"/>
  <c r="E16" i="108" s="1"/>
  <c r="E17" i="108" s="1"/>
  <c r="E18" i="108" s="1"/>
  <c r="E19" i="108" s="1"/>
  <c r="B14" i="108"/>
  <c r="B15" i="108" s="1"/>
  <c r="B16" i="108" s="1"/>
  <c r="B17" i="108" s="1"/>
  <c r="B18" i="108" s="1"/>
  <c r="B19" i="108" s="1"/>
  <c r="I40" i="108" l="1"/>
  <c r="I28" i="108" s="1"/>
  <c r="I38" i="108" s="1"/>
  <c r="C35" i="108"/>
  <c r="C31" i="108"/>
  <c r="C30" i="108"/>
  <c r="F28" i="108"/>
  <c r="F39" i="108" s="1"/>
  <c r="C28" i="108"/>
  <c r="C37" i="108" s="1"/>
  <c r="L8" i="108"/>
  <c r="L19" i="108" s="1"/>
  <c r="I8" i="108"/>
  <c r="I18" i="108" s="1"/>
  <c r="F8" i="108"/>
  <c r="F18" i="108" s="1"/>
  <c r="C8" i="108"/>
  <c r="C19" i="108" s="1"/>
  <c r="E28" i="106"/>
  <c r="B28" i="106"/>
  <c r="K8" i="106"/>
  <c r="H8" i="106"/>
  <c r="E8" i="106"/>
  <c r="B8" i="106"/>
  <c r="G28" i="108" l="1"/>
  <c r="C34" i="108"/>
  <c r="C38" i="108"/>
  <c r="C39" i="108"/>
  <c r="M8" i="108"/>
  <c r="I9" i="108"/>
  <c r="J9" i="108" s="1"/>
  <c r="I11" i="108"/>
  <c r="I15" i="108"/>
  <c r="I17" i="108"/>
  <c r="I13" i="108"/>
  <c r="J8" i="108"/>
  <c r="I19" i="108"/>
  <c r="H29" i="108"/>
  <c r="G31" i="108"/>
  <c r="F9" i="108"/>
  <c r="G9" i="108" s="1"/>
  <c r="F11" i="108"/>
  <c r="F13" i="108"/>
  <c r="F15" i="108"/>
  <c r="F17" i="108"/>
  <c r="F19" i="108"/>
  <c r="F32" i="108"/>
  <c r="F36" i="108"/>
  <c r="C10" i="108"/>
  <c r="C12" i="108"/>
  <c r="C18" i="108"/>
  <c r="I31" i="108"/>
  <c r="I35" i="108"/>
  <c r="I39" i="108"/>
  <c r="C14" i="108"/>
  <c r="C16" i="108"/>
  <c r="D8" i="108"/>
  <c r="L10" i="108"/>
  <c r="L12" i="108"/>
  <c r="L14" i="108"/>
  <c r="L16" i="108"/>
  <c r="L18" i="108"/>
  <c r="H28" i="108"/>
  <c r="J28" i="108" s="1"/>
  <c r="K28" i="108" s="1"/>
  <c r="F29" i="108"/>
  <c r="G29" i="108" s="1"/>
  <c r="F33" i="108"/>
  <c r="F37" i="108"/>
  <c r="I36" i="108"/>
  <c r="F10" i="108"/>
  <c r="F12" i="108"/>
  <c r="F14" i="108"/>
  <c r="F16" i="108"/>
  <c r="F30" i="108"/>
  <c r="G30" i="108" s="1"/>
  <c r="F34" i="108"/>
  <c r="F38" i="108"/>
  <c r="I32" i="108"/>
  <c r="C9" i="108"/>
  <c r="D9" i="108" s="1"/>
  <c r="C11" i="108"/>
  <c r="C13" i="108"/>
  <c r="C15" i="108"/>
  <c r="C17" i="108"/>
  <c r="I29" i="108"/>
  <c r="C32" i="108"/>
  <c r="I33" i="108"/>
  <c r="C36" i="108"/>
  <c r="I37" i="108"/>
  <c r="G8" i="108"/>
  <c r="L9" i="108"/>
  <c r="M9" i="108" s="1"/>
  <c r="L11" i="108"/>
  <c r="L13" i="108"/>
  <c r="L15" i="108"/>
  <c r="L17" i="108"/>
  <c r="D28" i="108"/>
  <c r="F31" i="108"/>
  <c r="F35" i="108"/>
  <c r="I10" i="108"/>
  <c r="I12" i="108"/>
  <c r="I14" i="108"/>
  <c r="I16" i="108"/>
  <c r="C29" i="108"/>
  <c r="D29" i="108" s="1"/>
  <c r="I30" i="108"/>
  <c r="C33" i="108"/>
  <c r="I34" i="108"/>
  <c r="I40" i="106"/>
  <c r="I28" i="106" s="1"/>
  <c r="H35" i="106"/>
  <c r="F34" i="106"/>
  <c r="F28" i="106"/>
  <c r="F31" i="106" s="1"/>
  <c r="C28" i="106"/>
  <c r="C37" i="106" s="1"/>
  <c r="D37" i="106" s="1"/>
  <c r="H39" i="106"/>
  <c r="H38" i="106"/>
  <c r="H37" i="106"/>
  <c r="H36" i="106"/>
  <c r="H34" i="106"/>
  <c r="H33" i="106"/>
  <c r="H31" i="106"/>
  <c r="H30" i="106"/>
  <c r="H29" i="106"/>
  <c r="L8" i="106"/>
  <c r="L19" i="106" s="1"/>
  <c r="M19" i="106" s="1"/>
  <c r="I8" i="106"/>
  <c r="I11" i="106" s="1"/>
  <c r="J11" i="106" s="1"/>
  <c r="F8" i="106"/>
  <c r="F14" i="106" s="1"/>
  <c r="C8" i="106"/>
  <c r="C15" i="106" s="1"/>
  <c r="D15" i="106" s="1"/>
  <c r="AA15" i="92"/>
  <c r="AA13" i="92"/>
  <c r="AA11" i="92"/>
  <c r="AA9" i="92"/>
  <c r="AA7" i="92"/>
  <c r="AA5" i="92"/>
  <c r="Z5" i="92"/>
  <c r="AA14" i="92"/>
  <c r="I41" i="104"/>
  <c r="I21" i="104"/>
  <c r="E21" i="104"/>
  <c r="Q21" i="104"/>
  <c r="M21" i="104"/>
  <c r="E41" i="104"/>
  <c r="E39" i="102"/>
  <c r="E19" i="102"/>
  <c r="B19" i="102"/>
  <c r="K19" i="102"/>
  <c r="H19" i="102"/>
  <c r="B39" i="102"/>
  <c r="E39" i="100"/>
  <c r="E19" i="100"/>
  <c r="B19" i="100"/>
  <c r="K19" i="100"/>
  <c r="H19" i="100"/>
  <c r="B39" i="100"/>
  <c r="I40" i="104"/>
  <c r="I20" i="104"/>
  <c r="E20" i="104"/>
  <c r="Q20" i="104"/>
  <c r="M20" i="104"/>
  <c r="E40" i="104"/>
  <c r="E38" i="102"/>
  <c r="E18" i="102"/>
  <c r="B18" i="102"/>
  <c r="K18" i="102"/>
  <c r="H18" i="102"/>
  <c r="B38" i="102"/>
  <c r="E38" i="100"/>
  <c r="E18" i="100"/>
  <c r="B18" i="100"/>
  <c r="K18" i="100"/>
  <c r="H18" i="100"/>
  <c r="B38" i="100"/>
  <c r="I39" i="104"/>
  <c r="I19" i="104"/>
  <c r="E19" i="104"/>
  <c r="Q19" i="104"/>
  <c r="M19" i="104"/>
  <c r="E39" i="104"/>
  <c r="E37" i="102"/>
  <c r="E17" i="102"/>
  <c r="B17" i="102"/>
  <c r="K17" i="102"/>
  <c r="H17" i="102"/>
  <c r="B37" i="102"/>
  <c r="B37" i="100"/>
  <c r="H17" i="100"/>
  <c r="K17" i="100"/>
  <c r="B17" i="100"/>
  <c r="E17" i="100"/>
  <c r="E37" i="100"/>
  <c r="I38" i="104"/>
  <c r="E38" i="104"/>
  <c r="Q18" i="104"/>
  <c r="M18" i="104"/>
  <c r="I18" i="104"/>
  <c r="E18" i="104"/>
  <c r="E36" i="102"/>
  <c r="B36" i="102"/>
  <c r="K16" i="102"/>
  <c r="H16" i="102"/>
  <c r="E16" i="102"/>
  <c r="B16" i="102"/>
  <c r="E36" i="100"/>
  <c r="B36" i="100"/>
  <c r="K16" i="100"/>
  <c r="H16" i="100"/>
  <c r="E16" i="100"/>
  <c r="B16" i="100"/>
  <c r="J29" i="108" l="1"/>
  <c r="K29" i="108" s="1"/>
  <c r="H30" i="108"/>
  <c r="J30" i="108" s="1"/>
  <c r="K30" i="108" s="1"/>
  <c r="D10" i="108"/>
  <c r="J10" i="108"/>
  <c r="G32" i="108"/>
  <c r="M10" i="108"/>
  <c r="D30" i="108"/>
  <c r="G10" i="108"/>
  <c r="F36" i="106"/>
  <c r="F37" i="106"/>
  <c r="F38" i="106"/>
  <c r="F30" i="106"/>
  <c r="C29" i="106"/>
  <c r="C36" i="106"/>
  <c r="C34" i="106"/>
  <c r="C30" i="106"/>
  <c r="C31" i="106"/>
  <c r="C33" i="106"/>
  <c r="D33" i="106" s="1"/>
  <c r="M8" i="106"/>
  <c r="L13" i="106"/>
  <c r="M13" i="106" s="1"/>
  <c r="L14" i="106"/>
  <c r="M14" i="106" s="1"/>
  <c r="L12" i="106"/>
  <c r="M12" i="106" s="1"/>
  <c r="L11" i="106"/>
  <c r="I16" i="106"/>
  <c r="J16" i="106" s="1"/>
  <c r="I9" i="106"/>
  <c r="I18" i="106"/>
  <c r="I12" i="106"/>
  <c r="F15" i="106"/>
  <c r="F16" i="106"/>
  <c r="F12" i="106"/>
  <c r="F9" i="106"/>
  <c r="F11" i="106"/>
  <c r="F18" i="106"/>
  <c r="I38" i="106"/>
  <c r="I31" i="106"/>
  <c r="I30" i="106"/>
  <c r="I34" i="106"/>
  <c r="C12" i="106"/>
  <c r="D12" i="106" s="1"/>
  <c r="C18" i="106"/>
  <c r="D18" i="106" s="1"/>
  <c r="C16" i="106"/>
  <c r="C13" i="106"/>
  <c r="D13" i="106" s="1"/>
  <c r="C11" i="106"/>
  <c r="D11" i="106" s="1"/>
  <c r="C9" i="106"/>
  <c r="G14" i="106"/>
  <c r="G31" i="106"/>
  <c r="J9" i="106"/>
  <c r="F10" i="106"/>
  <c r="G12" i="106"/>
  <c r="I14" i="106"/>
  <c r="J14" i="106" s="1"/>
  <c r="F17" i="106"/>
  <c r="G17" i="106" s="1"/>
  <c r="J18" i="106"/>
  <c r="F19" i="106"/>
  <c r="G19" i="106" s="1"/>
  <c r="B20" i="106"/>
  <c r="D29" i="106"/>
  <c r="I35" i="106"/>
  <c r="G36" i="106"/>
  <c r="C38" i="106"/>
  <c r="D38" i="106" s="1"/>
  <c r="I39" i="106"/>
  <c r="D9" i="106"/>
  <c r="L9" i="106"/>
  <c r="M11" i="106"/>
  <c r="J12" i="106"/>
  <c r="F13" i="106"/>
  <c r="G13" i="106" s="1"/>
  <c r="C14" i="106"/>
  <c r="D14" i="106" s="1"/>
  <c r="G15" i="106"/>
  <c r="D16" i="106"/>
  <c r="L16" i="106"/>
  <c r="L18" i="106"/>
  <c r="H20" i="106"/>
  <c r="H28" i="106"/>
  <c r="F29" i="106"/>
  <c r="G29" i="106" s="1"/>
  <c r="D30" i="106"/>
  <c r="F33" i="106"/>
  <c r="G33" i="106" s="1"/>
  <c r="D34" i="106"/>
  <c r="C35" i="106"/>
  <c r="I36" i="106"/>
  <c r="G37" i="106"/>
  <c r="C39" i="106"/>
  <c r="D39" i="106" s="1"/>
  <c r="E20" i="106"/>
  <c r="M9" i="106"/>
  <c r="I10" i="106"/>
  <c r="J10" i="106" s="1"/>
  <c r="I15" i="106"/>
  <c r="J15" i="106" s="1"/>
  <c r="M16" i="106"/>
  <c r="I17" i="106"/>
  <c r="M18" i="106"/>
  <c r="I19" i="106"/>
  <c r="J19" i="106" s="1"/>
  <c r="K20" i="106"/>
  <c r="D35" i="106"/>
  <c r="B40" i="106"/>
  <c r="G10" i="106"/>
  <c r="G28" i="106"/>
  <c r="J8" i="106"/>
  <c r="I13" i="106"/>
  <c r="J13" i="106" s="1"/>
  <c r="J17" i="106"/>
  <c r="D31" i="106"/>
  <c r="I37" i="106"/>
  <c r="G38" i="106"/>
  <c r="E40" i="106"/>
  <c r="G9" i="106"/>
  <c r="C10" i="106"/>
  <c r="D10" i="106" s="1"/>
  <c r="G11" i="106"/>
  <c r="G16" i="106"/>
  <c r="C17" i="106"/>
  <c r="G18" i="106"/>
  <c r="C19" i="106"/>
  <c r="D19" i="106" s="1"/>
  <c r="I29" i="106"/>
  <c r="G30" i="106"/>
  <c r="I33" i="106"/>
  <c r="G34" i="106"/>
  <c r="F35" i="106"/>
  <c r="D36" i="106"/>
  <c r="F39" i="106"/>
  <c r="G39" i="106" s="1"/>
  <c r="G8" i="106"/>
  <c r="D8" i="106"/>
  <c r="L10" i="106"/>
  <c r="M10" i="106" s="1"/>
  <c r="L15" i="106"/>
  <c r="M15" i="106" s="1"/>
  <c r="D17" i="106"/>
  <c r="L17" i="106"/>
  <c r="M17" i="106" s="1"/>
  <c r="D28" i="106"/>
  <c r="G35" i="106"/>
  <c r="I37" i="104"/>
  <c r="I17" i="104"/>
  <c r="E17" i="104"/>
  <c r="Q17" i="104"/>
  <c r="E35" i="102"/>
  <c r="E15" i="102"/>
  <c r="B15" i="102"/>
  <c r="K15" i="102"/>
  <c r="E35" i="100"/>
  <c r="E15" i="100"/>
  <c r="B15" i="100"/>
  <c r="K15" i="100"/>
  <c r="I36" i="104"/>
  <c r="I16" i="104"/>
  <c r="E16" i="104"/>
  <c r="Q16" i="104"/>
  <c r="M16" i="104"/>
  <c r="E36" i="104"/>
  <c r="E34" i="102"/>
  <c r="E14" i="102"/>
  <c r="B14" i="102"/>
  <c r="K14" i="102"/>
  <c r="H14" i="102"/>
  <c r="B34" i="102"/>
  <c r="E34" i="100"/>
  <c r="E14" i="100"/>
  <c r="B14" i="100"/>
  <c r="K14" i="100"/>
  <c r="H14" i="100"/>
  <c r="B34" i="100"/>
  <c r="I35" i="104"/>
  <c r="I15" i="104"/>
  <c r="E15" i="104"/>
  <c r="Q15" i="104"/>
  <c r="E35" i="104"/>
  <c r="E33" i="102"/>
  <c r="E13" i="102"/>
  <c r="B13" i="102"/>
  <c r="K13" i="102"/>
  <c r="B33" i="102"/>
  <c r="E33" i="100"/>
  <c r="E13" i="100"/>
  <c r="B13" i="100"/>
  <c r="K13" i="100"/>
  <c r="B33" i="100"/>
  <c r="I34" i="104"/>
  <c r="I14" i="104"/>
  <c r="E14" i="104"/>
  <c r="Q14" i="104"/>
  <c r="E34" i="104"/>
  <c r="E32" i="102"/>
  <c r="E12" i="102"/>
  <c r="B12" i="102"/>
  <c r="K12" i="102"/>
  <c r="B32" i="102"/>
  <c r="E32" i="100"/>
  <c r="E12" i="100"/>
  <c r="B12" i="100"/>
  <c r="K12" i="100"/>
  <c r="B32" i="100"/>
  <c r="I33" i="104"/>
  <c r="I13" i="104"/>
  <c r="E13" i="104"/>
  <c r="Q13" i="104"/>
  <c r="E33" i="104"/>
  <c r="E31" i="102"/>
  <c r="E11" i="102"/>
  <c r="B11" i="102"/>
  <c r="K11" i="102"/>
  <c r="B31" i="102"/>
  <c r="E11" i="100"/>
  <c r="E31" i="100"/>
  <c r="B11" i="100"/>
  <c r="K11" i="100"/>
  <c r="B31" i="100"/>
  <c r="Q12" i="104"/>
  <c r="E12" i="104"/>
  <c r="E32" i="104"/>
  <c r="I12" i="104"/>
  <c r="I32" i="104"/>
  <c r="M12" i="104"/>
  <c r="K10" i="102"/>
  <c r="B10" i="102"/>
  <c r="B30" i="102"/>
  <c r="E10" i="102"/>
  <c r="E30" i="102"/>
  <c r="H10" i="102"/>
  <c r="B10" i="100"/>
  <c r="K10" i="100"/>
  <c r="B30" i="100"/>
  <c r="E10" i="100"/>
  <c r="E30" i="100"/>
  <c r="H10" i="100"/>
  <c r="I31" i="104"/>
  <c r="I11" i="104"/>
  <c r="E11" i="104"/>
  <c r="Q11" i="104"/>
  <c r="M11" i="104"/>
  <c r="E31" i="104"/>
  <c r="B29" i="102"/>
  <c r="E29" i="102"/>
  <c r="E9" i="102"/>
  <c r="B9" i="102"/>
  <c r="K9" i="102"/>
  <c r="H9" i="102"/>
  <c r="E29" i="100"/>
  <c r="E9" i="100"/>
  <c r="B9" i="100"/>
  <c r="K9" i="100"/>
  <c r="H9" i="100"/>
  <c r="B29" i="100"/>
  <c r="Y7" i="92"/>
  <c r="Y5" i="92"/>
  <c r="Z15" i="92"/>
  <c r="Z13" i="92"/>
  <c r="Z11" i="92"/>
  <c r="Z9" i="92"/>
  <c r="Z7" i="92"/>
  <c r="I30" i="104"/>
  <c r="I10" i="104"/>
  <c r="E10" i="104"/>
  <c r="Q10" i="104"/>
  <c r="M10" i="104"/>
  <c r="E30" i="104"/>
  <c r="M38" i="104"/>
  <c r="M39" i="104"/>
  <c r="M40" i="104"/>
  <c r="M41" i="104"/>
  <c r="L31" i="104"/>
  <c r="L32" i="104"/>
  <c r="L33" i="104"/>
  <c r="L34" i="104"/>
  <c r="L35" i="104"/>
  <c r="L36" i="104"/>
  <c r="L37" i="104"/>
  <c r="L38" i="104"/>
  <c r="L39" i="104"/>
  <c r="L40" i="104"/>
  <c r="L41" i="104"/>
  <c r="L30" i="104"/>
  <c r="K31" i="104"/>
  <c r="K32" i="104"/>
  <c r="K33" i="104"/>
  <c r="K34" i="104"/>
  <c r="K35" i="104"/>
  <c r="K36" i="104"/>
  <c r="K37" i="104"/>
  <c r="K38" i="104"/>
  <c r="K39" i="104"/>
  <c r="K40" i="104"/>
  <c r="K41" i="104"/>
  <c r="K30" i="104"/>
  <c r="J31" i="104"/>
  <c r="J32" i="104"/>
  <c r="J33" i="104"/>
  <c r="J34" i="104"/>
  <c r="J35" i="104"/>
  <c r="J36" i="104"/>
  <c r="J37" i="104"/>
  <c r="J38" i="104"/>
  <c r="J39" i="104"/>
  <c r="J40" i="104"/>
  <c r="J41" i="104"/>
  <c r="J30" i="104"/>
  <c r="D11" i="108" l="1"/>
  <c r="H31" i="108"/>
  <c r="J31" i="108" s="1"/>
  <c r="K31" i="108" s="1"/>
  <c r="M11" i="108"/>
  <c r="D31" i="108"/>
  <c r="G33" i="108"/>
  <c r="G11" i="108"/>
  <c r="J11" i="108"/>
  <c r="H40" i="106"/>
  <c r="J33" i="106"/>
  <c r="K33" i="106" s="1"/>
  <c r="J29" i="106"/>
  <c r="K29" i="106" s="1"/>
  <c r="J37" i="106"/>
  <c r="K37" i="106" s="1"/>
  <c r="J35" i="106"/>
  <c r="K35" i="106" s="1"/>
  <c r="J28" i="106"/>
  <c r="K28" i="106" s="1"/>
  <c r="J36" i="106"/>
  <c r="K36" i="106" s="1"/>
  <c r="J31" i="106"/>
  <c r="K31" i="106" s="1"/>
  <c r="J39" i="106"/>
  <c r="K39" i="106" s="1"/>
  <c r="J34" i="106"/>
  <c r="K34" i="106" s="1"/>
  <c r="J30" i="106"/>
  <c r="K30" i="106" s="1"/>
  <c r="J38" i="106"/>
  <c r="K38" i="106" s="1"/>
  <c r="M37" i="104"/>
  <c r="M36" i="104"/>
  <c r="M35" i="104"/>
  <c r="M34" i="104"/>
  <c r="M33" i="104"/>
  <c r="M32" i="104"/>
  <c r="M31" i="104"/>
  <c r="Z14" i="92"/>
  <c r="M30" i="104"/>
  <c r="J42" i="104"/>
  <c r="H42" i="104"/>
  <c r="G42" i="104"/>
  <c r="F42" i="104"/>
  <c r="D42" i="104"/>
  <c r="C42" i="104"/>
  <c r="B42" i="104"/>
  <c r="I42" i="104"/>
  <c r="E42" i="104"/>
  <c r="P22" i="104"/>
  <c r="O22" i="104"/>
  <c r="N22" i="104"/>
  <c r="L22" i="104"/>
  <c r="K22" i="104"/>
  <c r="J22" i="104"/>
  <c r="H22" i="104"/>
  <c r="G22" i="104"/>
  <c r="F22" i="104"/>
  <c r="D22" i="104"/>
  <c r="C22" i="104"/>
  <c r="B22" i="104"/>
  <c r="I22" i="104"/>
  <c r="Q22" i="104"/>
  <c r="M22" i="104"/>
  <c r="E28" i="102"/>
  <c r="E8" i="102"/>
  <c r="B8" i="102"/>
  <c r="K8" i="102"/>
  <c r="H8" i="102"/>
  <c r="B28" i="102"/>
  <c r="B35" i="102"/>
  <c r="F37" i="102"/>
  <c r="F33" i="102"/>
  <c r="F28" i="102"/>
  <c r="F36" i="102" s="1"/>
  <c r="C28" i="102"/>
  <c r="C38" i="102" s="1"/>
  <c r="L8" i="102"/>
  <c r="I40" i="102"/>
  <c r="I28" i="102" s="1"/>
  <c r="I8" i="102"/>
  <c r="I19" i="102" s="1"/>
  <c r="F8" i="102"/>
  <c r="F18" i="102" s="1"/>
  <c r="C8" i="102"/>
  <c r="C18" i="102" s="1"/>
  <c r="E28" i="100"/>
  <c r="E8" i="100"/>
  <c r="B8" i="100"/>
  <c r="K8" i="100"/>
  <c r="H8" i="100"/>
  <c r="B28" i="100"/>
  <c r="G34" i="108" l="1"/>
  <c r="G12" i="108"/>
  <c r="D32" i="108"/>
  <c r="M12" i="108"/>
  <c r="J12" i="108"/>
  <c r="H32" i="108"/>
  <c r="J32" i="108" s="1"/>
  <c r="K32" i="108" s="1"/>
  <c r="D12" i="108"/>
  <c r="K42" i="104"/>
  <c r="L42" i="104"/>
  <c r="E22" i="104"/>
  <c r="M42" i="104" s="1"/>
  <c r="F29" i="102"/>
  <c r="C31" i="102"/>
  <c r="C35" i="102"/>
  <c r="C39" i="102"/>
  <c r="G8" i="102"/>
  <c r="C19" i="102"/>
  <c r="C9" i="102"/>
  <c r="C11" i="102"/>
  <c r="C13" i="102"/>
  <c r="C15" i="102"/>
  <c r="C17" i="102"/>
  <c r="H28" i="102"/>
  <c r="J28" i="102" s="1"/>
  <c r="K28" i="102" s="1"/>
  <c r="H11" i="102"/>
  <c r="H12" i="102" s="1"/>
  <c r="H13" i="102" s="1"/>
  <c r="L15" i="102"/>
  <c r="L17" i="102"/>
  <c r="L13" i="102"/>
  <c r="L18" i="102"/>
  <c r="L16" i="102"/>
  <c r="L14" i="102"/>
  <c r="L12" i="102"/>
  <c r="L10" i="102"/>
  <c r="M10" i="102" s="1"/>
  <c r="L19" i="102"/>
  <c r="L9" i="102"/>
  <c r="L11" i="102"/>
  <c r="M8" i="102"/>
  <c r="I39" i="102"/>
  <c r="I35" i="102"/>
  <c r="I31" i="102"/>
  <c r="I38" i="102"/>
  <c r="I34" i="102"/>
  <c r="I30" i="102"/>
  <c r="I36" i="102"/>
  <c r="I37" i="102"/>
  <c r="I33" i="102"/>
  <c r="I29" i="102"/>
  <c r="I32" i="102"/>
  <c r="M9" i="102"/>
  <c r="I10" i="102"/>
  <c r="I12" i="102"/>
  <c r="I14" i="102"/>
  <c r="I16" i="102"/>
  <c r="I18" i="102"/>
  <c r="F30" i="102"/>
  <c r="F34" i="102"/>
  <c r="F38" i="102"/>
  <c r="J8" i="102"/>
  <c r="F9" i="102"/>
  <c r="G9" i="102" s="1"/>
  <c r="F11" i="102"/>
  <c r="F13" i="102"/>
  <c r="F15" i="102"/>
  <c r="F17" i="102"/>
  <c r="F19" i="102"/>
  <c r="C32" i="102"/>
  <c r="C36" i="102"/>
  <c r="C10" i="102"/>
  <c r="C12" i="102"/>
  <c r="C14" i="102"/>
  <c r="C16" i="102"/>
  <c r="D28" i="102"/>
  <c r="F31" i="102"/>
  <c r="F35" i="102"/>
  <c r="F39" i="102"/>
  <c r="D8" i="102"/>
  <c r="C29" i="102"/>
  <c r="D29" i="102" s="1"/>
  <c r="C33" i="102"/>
  <c r="C37" i="102"/>
  <c r="I9" i="102"/>
  <c r="J9" i="102" s="1"/>
  <c r="I11" i="102"/>
  <c r="I13" i="102"/>
  <c r="I15" i="102"/>
  <c r="I17" i="102"/>
  <c r="F32" i="102"/>
  <c r="F10" i="102"/>
  <c r="F12" i="102"/>
  <c r="F14" i="102"/>
  <c r="F16" i="102"/>
  <c r="G28" i="102"/>
  <c r="C30" i="102"/>
  <c r="C34" i="102"/>
  <c r="J13" i="108" l="1"/>
  <c r="G35" i="108"/>
  <c r="M13" i="108"/>
  <c r="D33" i="108"/>
  <c r="D13" i="108"/>
  <c r="H33" i="108"/>
  <c r="J33" i="108" s="1"/>
  <c r="K33" i="108" s="1"/>
  <c r="G13" i="108"/>
  <c r="H15" i="102"/>
  <c r="D9" i="102"/>
  <c r="M11" i="102"/>
  <c r="D30" i="102"/>
  <c r="D10" i="102"/>
  <c r="J10" i="102"/>
  <c r="G10" i="102"/>
  <c r="J14" i="108" l="1"/>
  <c r="M14" i="108"/>
  <c r="D34" i="108"/>
  <c r="G14" i="108"/>
  <c r="H34" i="108"/>
  <c r="J34" i="108" s="1"/>
  <c r="K34" i="108" s="1"/>
  <c r="D14" i="108"/>
  <c r="G36" i="108"/>
  <c r="J11" i="102"/>
  <c r="G11" i="102"/>
  <c r="D11" i="102"/>
  <c r="D31" i="102"/>
  <c r="M12" i="102"/>
  <c r="D15" i="108" l="1"/>
  <c r="H35" i="108"/>
  <c r="J35" i="108" s="1"/>
  <c r="K35" i="108" s="1"/>
  <c r="J15" i="108"/>
  <c r="G15" i="108"/>
  <c r="G37" i="108"/>
  <c r="D35" i="108"/>
  <c r="M15" i="108"/>
  <c r="D12" i="102"/>
  <c r="M13" i="102"/>
  <c r="G12" i="102"/>
  <c r="D32" i="102"/>
  <c r="J12" i="102"/>
  <c r="D36" i="108" l="1"/>
  <c r="G38" i="108"/>
  <c r="G16" i="108"/>
  <c r="M16" i="108"/>
  <c r="J16" i="108"/>
  <c r="H36" i="108"/>
  <c r="J36" i="108" s="1"/>
  <c r="K36" i="108" s="1"/>
  <c r="D16" i="108"/>
  <c r="D33" i="102"/>
  <c r="G13" i="102"/>
  <c r="J13" i="102"/>
  <c r="M14" i="102"/>
  <c r="D13" i="102"/>
  <c r="J17" i="108" l="1"/>
  <c r="D37" i="108"/>
  <c r="M17" i="108"/>
  <c r="G17" i="108"/>
  <c r="G39" i="108"/>
  <c r="E40" i="108"/>
  <c r="D17" i="108"/>
  <c r="H37" i="108"/>
  <c r="J37" i="108" s="1"/>
  <c r="K37" i="108" s="1"/>
  <c r="J14" i="102"/>
  <c r="D14" i="102"/>
  <c r="G14" i="102"/>
  <c r="M15" i="102"/>
  <c r="D34" i="102"/>
  <c r="J18" i="108" l="1"/>
  <c r="D38" i="108"/>
  <c r="G18" i="108"/>
  <c r="M18" i="108"/>
  <c r="H38" i="108"/>
  <c r="J38" i="108" s="1"/>
  <c r="K38" i="108" s="1"/>
  <c r="D18" i="108"/>
  <c r="D35" i="102"/>
  <c r="G15" i="102"/>
  <c r="D15" i="102"/>
  <c r="M16" i="102"/>
  <c r="J15" i="102"/>
  <c r="D19" i="108" l="1"/>
  <c r="H39" i="108"/>
  <c r="J39" i="108" s="1"/>
  <c r="K39" i="108" s="1"/>
  <c r="B20" i="108"/>
  <c r="J19" i="108"/>
  <c r="H20" i="108"/>
  <c r="M19" i="108"/>
  <c r="K20" i="108"/>
  <c r="G19" i="108"/>
  <c r="E20" i="108"/>
  <c r="B40" i="108"/>
  <c r="D39" i="108"/>
  <c r="J16" i="102"/>
  <c r="G16" i="102"/>
  <c r="D16" i="102"/>
  <c r="M17" i="102"/>
  <c r="D36" i="102"/>
  <c r="H40" i="108" l="1"/>
  <c r="D17" i="102"/>
  <c r="G17" i="102"/>
  <c r="M18" i="102"/>
  <c r="D37" i="102"/>
  <c r="J17" i="102"/>
  <c r="C28" i="100"/>
  <c r="H36" i="100"/>
  <c r="H32" i="100"/>
  <c r="F28" i="100"/>
  <c r="F32" i="100" s="1"/>
  <c r="H20" i="100"/>
  <c r="I40" i="100"/>
  <c r="I28" i="100" s="1"/>
  <c r="H39" i="100"/>
  <c r="H38" i="100"/>
  <c r="H37" i="100"/>
  <c r="H35" i="100"/>
  <c r="H34" i="100"/>
  <c r="H33" i="100"/>
  <c r="H31" i="100"/>
  <c r="H30" i="100"/>
  <c r="L8" i="100"/>
  <c r="L14" i="100" s="1"/>
  <c r="M14" i="100" s="1"/>
  <c r="I8" i="100"/>
  <c r="I19" i="100" s="1"/>
  <c r="J19" i="100" s="1"/>
  <c r="C8" i="100"/>
  <c r="C17" i="100" s="1"/>
  <c r="I40" i="90"/>
  <c r="I20" i="90"/>
  <c r="E20" i="90"/>
  <c r="Q20" i="90"/>
  <c r="M20" i="90"/>
  <c r="E40" i="90"/>
  <c r="E39" i="88"/>
  <c r="E19" i="88"/>
  <c r="B19" i="88"/>
  <c r="K19" i="88"/>
  <c r="H19" i="88"/>
  <c r="B39" i="88"/>
  <c r="E39" i="86"/>
  <c r="E19" i="86"/>
  <c r="B19" i="86"/>
  <c r="K19" i="86"/>
  <c r="H19" i="86"/>
  <c r="B39" i="86"/>
  <c r="F40" i="88"/>
  <c r="C40" i="88"/>
  <c r="L20" i="88"/>
  <c r="F20" i="88"/>
  <c r="C20" i="88"/>
  <c r="G18" i="102" l="1"/>
  <c r="J18" i="102"/>
  <c r="D38" i="102"/>
  <c r="K20" i="102"/>
  <c r="M19" i="102"/>
  <c r="D18" i="102"/>
  <c r="G28" i="100"/>
  <c r="F33" i="100"/>
  <c r="G33" i="100" s="1"/>
  <c r="F37" i="100"/>
  <c r="G37" i="100" s="1"/>
  <c r="F29" i="100"/>
  <c r="G29" i="100" s="1"/>
  <c r="L12" i="100"/>
  <c r="M12" i="100" s="1"/>
  <c r="I13" i="100"/>
  <c r="J13" i="100" s="1"/>
  <c r="J8" i="100"/>
  <c r="C12" i="100"/>
  <c r="E20" i="100"/>
  <c r="D17" i="100"/>
  <c r="H28" i="100"/>
  <c r="B20" i="100"/>
  <c r="D8" i="100"/>
  <c r="D12" i="100"/>
  <c r="I39" i="100"/>
  <c r="I35" i="100"/>
  <c r="I34" i="100"/>
  <c r="I30" i="100"/>
  <c r="I37" i="100"/>
  <c r="I31" i="100"/>
  <c r="I38" i="100"/>
  <c r="I33" i="100"/>
  <c r="I29" i="100"/>
  <c r="I32" i="100"/>
  <c r="I36" i="100"/>
  <c r="G32" i="100"/>
  <c r="G38" i="100"/>
  <c r="E40" i="100"/>
  <c r="J12" i="100"/>
  <c r="C38" i="100"/>
  <c r="D38" i="100" s="1"/>
  <c r="C34" i="100"/>
  <c r="C30" i="100"/>
  <c r="D30" i="100" s="1"/>
  <c r="C33" i="100"/>
  <c r="D33" i="100" s="1"/>
  <c r="C29" i="100"/>
  <c r="D29" i="100" s="1"/>
  <c r="C36" i="100"/>
  <c r="C31" i="100"/>
  <c r="D31" i="100" s="1"/>
  <c r="C39" i="100"/>
  <c r="D39" i="100" s="1"/>
  <c r="C35" i="100"/>
  <c r="D35" i="100" s="1"/>
  <c r="C37" i="100"/>
  <c r="C32" i="100"/>
  <c r="D37" i="100"/>
  <c r="C10" i="100"/>
  <c r="D10" i="100" s="1"/>
  <c r="K20" i="100"/>
  <c r="D34" i="100"/>
  <c r="I11" i="100"/>
  <c r="C15" i="100"/>
  <c r="D15" i="100" s="1"/>
  <c r="L15" i="100"/>
  <c r="M15" i="100" s="1"/>
  <c r="L17" i="100"/>
  <c r="M17" i="100" s="1"/>
  <c r="L19" i="100"/>
  <c r="M19" i="100" s="1"/>
  <c r="B40" i="100"/>
  <c r="M8" i="100"/>
  <c r="I9" i="100"/>
  <c r="J9" i="100" s="1"/>
  <c r="L13" i="100"/>
  <c r="M13" i="100" s="1"/>
  <c r="I16" i="100"/>
  <c r="J16" i="100" s="1"/>
  <c r="H29" i="100"/>
  <c r="F30" i="100"/>
  <c r="G30" i="100" s="1"/>
  <c r="F34" i="100"/>
  <c r="G34" i="100" s="1"/>
  <c r="J18" i="100"/>
  <c r="F35" i="100"/>
  <c r="D36" i="100"/>
  <c r="F39" i="100"/>
  <c r="C9" i="100"/>
  <c r="D9" i="100" s="1"/>
  <c r="C11" i="100"/>
  <c r="D11" i="100" s="1"/>
  <c r="L11" i="100"/>
  <c r="M11" i="100" s="1"/>
  <c r="I12" i="100"/>
  <c r="J14" i="100"/>
  <c r="C16" i="100"/>
  <c r="D16" i="100" s="1"/>
  <c r="C18" i="100"/>
  <c r="D18" i="100" s="1"/>
  <c r="D28" i="100"/>
  <c r="F31" i="100"/>
  <c r="G31" i="100" s="1"/>
  <c r="D32" i="100"/>
  <c r="G35" i="100"/>
  <c r="G39" i="100"/>
  <c r="C19" i="100"/>
  <c r="D19" i="100" s="1"/>
  <c r="L10" i="100"/>
  <c r="M10" i="100" s="1"/>
  <c r="F38" i="100"/>
  <c r="J11" i="100"/>
  <c r="C13" i="100"/>
  <c r="D13" i="100" s="1"/>
  <c r="I18" i="100"/>
  <c r="F8" i="100"/>
  <c r="I14" i="100"/>
  <c r="L9" i="100"/>
  <c r="M9" i="100" s="1"/>
  <c r="C14" i="100"/>
  <c r="D14" i="100" s="1"/>
  <c r="L16" i="100"/>
  <c r="M16" i="100" s="1"/>
  <c r="L18" i="100"/>
  <c r="M18" i="100" s="1"/>
  <c r="F36" i="100"/>
  <c r="G36" i="100" s="1"/>
  <c r="I10" i="100"/>
  <c r="J10" i="100" s="1"/>
  <c r="I15" i="100"/>
  <c r="J15" i="100" s="1"/>
  <c r="I17" i="100"/>
  <c r="J17" i="100" s="1"/>
  <c r="F40" i="86"/>
  <c r="C40" i="86"/>
  <c r="L20" i="86"/>
  <c r="F20" i="86"/>
  <c r="C20" i="86"/>
  <c r="B40" i="102" l="1"/>
  <c r="D39" i="102"/>
  <c r="D19" i="102"/>
  <c r="B20" i="102"/>
  <c r="H20" i="102"/>
  <c r="J19" i="102"/>
  <c r="E20" i="102"/>
  <c r="G19" i="102"/>
  <c r="J34" i="100"/>
  <c r="K34" i="100" s="1"/>
  <c r="J30" i="100"/>
  <c r="K30" i="100" s="1"/>
  <c r="J35" i="100"/>
  <c r="K35" i="100" s="1"/>
  <c r="J38" i="100"/>
  <c r="K38" i="100" s="1"/>
  <c r="J28" i="100"/>
  <c r="K28" i="100" s="1"/>
  <c r="J36" i="100"/>
  <c r="K36" i="100" s="1"/>
  <c r="J33" i="100"/>
  <c r="K33" i="100" s="1"/>
  <c r="J29" i="100"/>
  <c r="K29" i="100" s="1"/>
  <c r="J37" i="100"/>
  <c r="K37" i="100" s="1"/>
  <c r="J32" i="100"/>
  <c r="K32" i="100" s="1"/>
  <c r="J31" i="100"/>
  <c r="K31" i="100" s="1"/>
  <c r="J39" i="100"/>
  <c r="K39" i="100" s="1"/>
  <c r="F13" i="100"/>
  <c r="G13" i="100" s="1"/>
  <c r="F15" i="100"/>
  <c r="G15" i="100" s="1"/>
  <c r="F19" i="100"/>
  <c r="G19" i="100" s="1"/>
  <c r="F17" i="100"/>
  <c r="G17" i="100" s="1"/>
  <c r="F10" i="100"/>
  <c r="G10" i="100" s="1"/>
  <c r="F12" i="100"/>
  <c r="G12" i="100" s="1"/>
  <c r="F14" i="100"/>
  <c r="G14" i="100" s="1"/>
  <c r="F9" i="100"/>
  <c r="G9" i="100" s="1"/>
  <c r="F18" i="100"/>
  <c r="G18" i="100" s="1"/>
  <c r="F11" i="100"/>
  <c r="G11" i="100" s="1"/>
  <c r="F16" i="100"/>
  <c r="G16" i="100" s="1"/>
  <c r="H40" i="100"/>
  <c r="G8" i="100"/>
  <c r="I39" i="90"/>
  <c r="I19" i="90"/>
  <c r="E19" i="90"/>
  <c r="Q19" i="90"/>
  <c r="M19" i="90"/>
  <c r="E39" i="90"/>
  <c r="E38" i="88"/>
  <c r="E18" i="88"/>
  <c r="B18" i="88"/>
  <c r="K18" i="88"/>
  <c r="H18" i="88"/>
  <c r="B38" i="88"/>
  <c r="E38" i="86"/>
  <c r="E18" i="86"/>
  <c r="B18" i="86"/>
  <c r="K18" i="86"/>
  <c r="H18" i="86"/>
  <c r="B38" i="86"/>
  <c r="I38" i="90"/>
  <c r="I18" i="90"/>
  <c r="E18" i="90"/>
  <c r="Q18" i="90"/>
  <c r="M18" i="90"/>
  <c r="E38" i="90"/>
  <c r="E37" i="88"/>
  <c r="E17" i="88"/>
  <c r="B17" i="88"/>
  <c r="K17" i="88"/>
  <c r="H17" i="88"/>
  <c r="B37" i="88"/>
  <c r="E37" i="86"/>
  <c r="E17" i="86"/>
  <c r="B17" i="86"/>
  <c r="K17" i="86"/>
  <c r="H17" i="86"/>
  <c r="B37" i="86"/>
  <c r="I17" i="90"/>
  <c r="E17" i="90"/>
  <c r="Q17" i="90"/>
  <c r="M17" i="90"/>
  <c r="E37" i="90"/>
  <c r="E16" i="88"/>
  <c r="B16" i="88"/>
  <c r="K16" i="88"/>
  <c r="H16" i="88"/>
  <c r="B36" i="88"/>
  <c r="E16" i="86"/>
  <c r="B16" i="86"/>
  <c r="K16" i="86"/>
  <c r="H16" i="86"/>
  <c r="B36" i="86"/>
  <c r="I37" i="90"/>
  <c r="Q16" i="90"/>
  <c r="E16" i="90"/>
  <c r="E36" i="88"/>
  <c r="E36" i="86"/>
  <c r="I36" i="90"/>
  <c r="I16" i="90"/>
  <c r="E35" i="88"/>
  <c r="E15" i="88"/>
  <c r="B15" i="88"/>
  <c r="K15" i="88"/>
  <c r="E35" i="86"/>
  <c r="E15" i="86"/>
  <c r="B15" i="86"/>
  <c r="K15" i="86"/>
  <c r="I35" i="90"/>
  <c r="I15" i="90"/>
  <c r="E15" i="90"/>
  <c r="Q15" i="90"/>
  <c r="M15" i="90"/>
  <c r="E35" i="90"/>
  <c r="E34" i="88"/>
  <c r="E14" i="88"/>
  <c r="B14" i="88"/>
  <c r="K14" i="88"/>
  <c r="H14" i="88"/>
  <c r="B34" i="88"/>
  <c r="E34" i="86"/>
  <c r="E14" i="86"/>
  <c r="B14" i="86"/>
  <c r="K14" i="86"/>
  <c r="H14" i="86"/>
  <c r="B34" i="86"/>
  <c r="I34" i="90"/>
  <c r="I14" i="90"/>
  <c r="E14" i="90"/>
  <c r="Q14" i="90"/>
  <c r="E34" i="90"/>
  <c r="E33" i="88"/>
  <c r="E13" i="88"/>
  <c r="B13" i="88"/>
  <c r="K13" i="88"/>
  <c r="B33" i="88"/>
  <c r="E33" i="86"/>
  <c r="E13" i="86"/>
  <c r="B13" i="86"/>
  <c r="K13" i="86"/>
  <c r="B33" i="86"/>
  <c r="M34" i="90" l="1"/>
  <c r="E13" i="90"/>
  <c r="I33" i="90"/>
  <c r="E33" i="90"/>
  <c r="Q13" i="90"/>
  <c r="I13" i="90"/>
  <c r="B12" i="88"/>
  <c r="E32" i="88"/>
  <c r="B32" i="88"/>
  <c r="K12" i="88"/>
  <c r="E12" i="88"/>
  <c r="B12" i="86"/>
  <c r="E32" i="86"/>
  <c r="B32" i="86"/>
  <c r="K12" i="86"/>
  <c r="E12" i="86"/>
  <c r="I32" i="90"/>
  <c r="I12" i="90"/>
  <c r="E12" i="90"/>
  <c r="Q12" i="90"/>
  <c r="E32" i="90"/>
  <c r="E31" i="88"/>
  <c r="E11" i="88"/>
  <c r="B11" i="88"/>
  <c r="K11" i="88"/>
  <c r="B31" i="88"/>
  <c r="E31" i="86"/>
  <c r="E11" i="86"/>
  <c r="B11" i="86"/>
  <c r="K11" i="86"/>
  <c r="B31" i="86"/>
  <c r="I31" i="90"/>
  <c r="I11" i="90"/>
  <c r="E11" i="90"/>
  <c r="Q11" i="90"/>
  <c r="M11" i="90"/>
  <c r="E31" i="90"/>
  <c r="E30" i="88"/>
  <c r="E10" i="88"/>
  <c r="B10" i="88"/>
  <c r="K10" i="88"/>
  <c r="H10" i="88"/>
  <c r="B30" i="88"/>
  <c r="E30" i="86"/>
  <c r="E10" i="86"/>
  <c r="B10" i="86"/>
  <c r="K10" i="86"/>
  <c r="H10" i="86"/>
  <c r="B30" i="86"/>
  <c r="I30" i="90"/>
  <c r="I10" i="90"/>
  <c r="E10" i="90"/>
  <c r="Q10" i="90"/>
  <c r="M10" i="90"/>
  <c r="E30" i="90"/>
  <c r="E29" i="88"/>
  <c r="E9" i="88"/>
  <c r="B9" i="88"/>
  <c r="K9" i="88"/>
  <c r="H9" i="88"/>
  <c r="B29" i="88"/>
  <c r="E29" i="86"/>
  <c r="E9" i="86"/>
  <c r="B9" i="86"/>
  <c r="K9" i="86"/>
  <c r="H9" i="86"/>
  <c r="B29" i="86"/>
  <c r="I29" i="90"/>
  <c r="I9" i="90"/>
  <c r="E9" i="90"/>
  <c r="Q9" i="90"/>
  <c r="M9" i="90"/>
  <c r="E29" i="90"/>
  <c r="E40" i="88" l="1"/>
  <c r="B35" i="88"/>
  <c r="H11" i="88"/>
  <c r="H12" i="88" s="1"/>
  <c r="H13" i="88" s="1"/>
  <c r="H15" i="88" s="1"/>
  <c r="B20" i="88"/>
  <c r="E28" i="88"/>
  <c r="E8" i="88"/>
  <c r="B8" i="88"/>
  <c r="K8" i="88"/>
  <c r="H8" i="88"/>
  <c r="B28" i="88"/>
  <c r="E28" i="86"/>
  <c r="E8" i="86"/>
  <c r="B8" i="86"/>
  <c r="K8" i="86"/>
  <c r="H8" i="86"/>
  <c r="B28" i="86"/>
  <c r="M21" i="90"/>
  <c r="Y15" i="92"/>
  <c r="S15" i="92"/>
  <c r="L15" i="92"/>
  <c r="K15" i="92"/>
  <c r="J15" i="92"/>
  <c r="I15" i="92"/>
  <c r="Y14" i="92"/>
  <c r="X14" i="92"/>
  <c r="X15" i="92" s="1"/>
  <c r="W14" i="92"/>
  <c r="W15" i="92" s="1"/>
  <c r="V14" i="92"/>
  <c r="V15" i="92" s="1"/>
  <c r="U14" i="92"/>
  <c r="S14" i="92"/>
  <c r="R14" i="92"/>
  <c r="O14" i="92"/>
  <c r="O15" i="92" s="1"/>
  <c r="N14" i="92"/>
  <c r="N15" i="92" s="1"/>
  <c r="M14" i="92"/>
  <c r="M15" i="92" s="1"/>
  <c r="L14" i="92"/>
  <c r="K14" i="92"/>
  <c r="J14" i="92"/>
  <c r="I14" i="92"/>
  <c r="H14" i="92"/>
  <c r="H15" i="92" s="1"/>
  <c r="G14" i="92"/>
  <c r="G15" i="92" s="1"/>
  <c r="F14" i="92"/>
  <c r="F15" i="92" s="1"/>
  <c r="E14" i="92"/>
  <c r="D14" i="92"/>
  <c r="C14" i="92"/>
  <c r="Y13" i="92"/>
  <c r="X13" i="92"/>
  <c r="W13" i="92"/>
  <c r="V13" i="92"/>
  <c r="U13" i="92"/>
  <c r="T13" i="92"/>
  <c r="S13" i="92"/>
  <c r="R13" i="92"/>
  <c r="O13" i="92"/>
  <c r="N13" i="92"/>
  <c r="M13" i="92"/>
  <c r="L13" i="92"/>
  <c r="K13" i="92"/>
  <c r="J13" i="92"/>
  <c r="I13" i="92"/>
  <c r="H13" i="92"/>
  <c r="G13" i="92"/>
  <c r="F13" i="92"/>
  <c r="E13" i="92"/>
  <c r="P12" i="92"/>
  <c r="Q13" i="92" s="1"/>
  <c r="Y11" i="92"/>
  <c r="X11" i="92"/>
  <c r="W11" i="92"/>
  <c r="V11" i="92"/>
  <c r="U11" i="92"/>
  <c r="T11" i="92"/>
  <c r="S11" i="92"/>
  <c r="R11" i="92"/>
  <c r="O11" i="92"/>
  <c r="N11" i="92"/>
  <c r="M11" i="92"/>
  <c r="L11" i="92"/>
  <c r="K11" i="92"/>
  <c r="J11" i="92"/>
  <c r="I11" i="92"/>
  <c r="H11" i="92"/>
  <c r="G11" i="92"/>
  <c r="F11" i="92"/>
  <c r="E11" i="92"/>
  <c r="D11" i="92"/>
  <c r="P10" i="92"/>
  <c r="Q11" i="92" s="1"/>
  <c r="Y9" i="92"/>
  <c r="X9" i="92"/>
  <c r="W9" i="92"/>
  <c r="V9" i="92"/>
  <c r="S9" i="92"/>
  <c r="R9" i="92"/>
  <c r="Q9" i="92"/>
  <c r="O9" i="92"/>
  <c r="N9" i="92"/>
  <c r="M9" i="92"/>
  <c r="L9" i="92"/>
  <c r="K9" i="92"/>
  <c r="J9" i="92"/>
  <c r="I9" i="92"/>
  <c r="H9" i="92"/>
  <c r="G9" i="92"/>
  <c r="F9" i="92"/>
  <c r="E9" i="92"/>
  <c r="T8" i="92"/>
  <c r="T9" i="92" s="1"/>
  <c r="P8" i="92"/>
  <c r="P9" i="92" s="1"/>
  <c r="X7" i="92"/>
  <c r="W7" i="92"/>
  <c r="V7" i="92"/>
  <c r="S7" i="92"/>
  <c r="P7" i="92"/>
  <c r="O7" i="92"/>
  <c r="N7" i="92"/>
  <c r="M7" i="92"/>
  <c r="L7" i="92"/>
  <c r="K7" i="92"/>
  <c r="J7" i="92"/>
  <c r="I7" i="92"/>
  <c r="H7" i="92"/>
  <c r="G7" i="92"/>
  <c r="F7" i="92"/>
  <c r="E7" i="92"/>
  <c r="D7" i="92"/>
  <c r="T6" i="92"/>
  <c r="U7" i="92" s="1"/>
  <c r="Q6" i="92"/>
  <c r="Q14" i="92" s="1"/>
  <c r="P6" i="92"/>
  <c r="Q7" i="92" s="1"/>
  <c r="X5" i="92"/>
  <c r="W5" i="92"/>
  <c r="V5" i="92"/>
  <c r="S5" i="92"/>
  <c r="R5" i="92"/>
  <c r="Q5" i="92"/>
  <c r="O5" i="92"/>
  <c r="N5" i="92"/>
  <c r="M5" i="92"/>
  <c r="L5" i="92"/>
  <c r="K5" i="92"/>
  <c r="J5" i="92"/>
  <c r="I5" i="92"/>
  <c r="H5" i="92"/>
  <c r="G5" i="92"/>
  <c r="F5" i="92"/>
  <c r="E5" i="92"/>
  <c r="D5" i="92"/>
  <c r="T4" i="92"/>
  <c r="T14" i="92" s="1"/>
  <c r="T15" i="92" s="1"/>
  <c r="P4" i="92"/>
  <c r="P5" i="92" s="1"/>
  <c r="L36" i="90"/>
  <c r="P21" i="90"/>
  <c r="L38" i="90"/>
  <c r="L29" i="90"/>
  <c r="H21" i="90"/>
  <c r="L34" i="90"/>
  <c r="D21" i="90"/>
  <c r="L32" i="90"/>
  <c r="H41" i="90"/>
  <c r="G41" i="90"/>
  <c r="F41" i="90"/>
  <c r="C41" i="90"/>
  <c r="B41" i="90"/>
  <c r="L40" i="90"/>
  <c r="K40" i="90"/>
  <c r="J40" i="90"/>
  <c r="L39" i="90"/>
  <c r="K39" i="90"/>
  <c r="J39" i="90"/>
  <c r="K38" i="90"/>
  <c r="J38" i="90"/>
  <c r="L37" i="90"/>
  <c r="K37" i="90"/>
  <c r="J37" i="90"/>
  <c r="K36" i="90"/>
  <c r="J36" i="90"/>
  <c r="K35" i="90"/>
  <c r="J35" i="90"/>
  <c r="K34" i="90"/>
  <c r="J34" i="90"/>
  <c r="K33" i="90"/>
  <c r="J33" i="90"/>
  <c r="M32" i="90"/>
  <c r="K32" i="90"/>
  <c r="J32" i="90"/>
  <c r="L31" i="90"/>
  <c r="K31" i="90"/>
  <c r="J31" i="90"/>
  <c r="I41" i="90"/>
  <c r="L30" i="90"/>
  <c r="K30" i="90"/>
  <c r="J30" i="90"/>
  <c r="K29" i="90"/>
  <c r="J29" i="90"/>
  <c r="E41" i="90"/>
  <c r="O21" i="90"/>
  <c r="N21" i="90"/>
  <c r="K21" i="90"/>
  <c r="J21" i="90"/>
  <c r="G21" i="90"/>
  <c r="F21" i="90"/>
  <c r="C21" i="90"/>
  <c r="B21" i="90"/>
  <c r="M40" i="90"/>
  <c r="M39" i="90"/>
  <c r="M38" i="90"/>
  <c r="M37" i="90"/>
  <c r="M36" i="90"/>
  <c r="M35" i="90"/>
  <c r="M33" i="90"/>
  <c r="M31" i="90"/>
  <c r="M30" i="90"/>
  <c r="Q21" i="90"/>
  <c r="M29" i="90"/>
  <c r="E21" i="90"/>
  <c r="U15" i="92" l="1"/>
  <c r="R15" i="92"/>
  <c r="R7" i="92"/>
  <c r="T5" i="92"/>
  <c r="P14" i="92"/>
  <c r="P15" i="92" s="1"/>
  <c r="U5" i="92"/>
  <c r="T7" i="92"/>
  <c r="U9" i="92"/>
  <c r="P13" i="92"/>
  <c r="P11" i="92"/>
  <c r="L21" i="90"/>
  <c r="L35" i="90"/>
  <c r="D41" i="90"/>
  <c r="L33" i="90"/>
  <c r="L41" i="90" s="1"/>
  <c r="K41" i="90"/>
  <c r="J41" i="90"/>
  <c r="I21" i="90"/>
  <c r="M41" i="90" s="1"/>
  <c r="F28" i="88"/>
  <c r="F36" i="88" s="1"/>
  <c r="C28" i="88"/>
  <c r="C38" i="88" s="1"/>
  <c r="L8" i="88"/>
  <c r="I40" i="88"/>
  <c r="I28" i="88" s="1"/>
  <c r="I8" i="88"/>
  <c r="I10" i="88" s="1"/>
  <c r="F8" i="88"/>
  <c r="F18" i="88" s="1"/>
  <c r="C8" i="88"/>
  <c r="C19" i="88" s="1"/>
  <c r="I40" i="86"/>
  <c r="I28" i="86" s="1"/>
  <c r="H35" i="86"/>
  <c r="D32" i="86"/>
  <c r="F28" i="86"/>
  <c r="F39" i="86" s="1"/>
  <c r="G39" i="86" s="1"/>
  <c r="E40" i="86"/>
  <c r="C28" i="86"/>
  <c r="C32" i="86" s="1"/>
  <c r="F8" i="86"/>
  <c r="E20" i="86"/>
  <c r="H39" i="86"/>
  <c r="H38" i="86"/>
  <c r="H37" i="86"/>
  <c r="H36" i="86"/>
  <c r="H34" i="86"/>
  <c r="H33" i="86"/>
  <c r="H31" i="86"/>
  <c r="H30" i="86"/>
  <c r="H29" i="86"/>
  <c r="L8" i="86"/>
  <c r="L11" i="86" s="1"/>
  <c r="M11" i="86" s="1"/>
  <c r="I8" i="86"/>
  <c r="I12" i="86" s="1"/>
  <c r="C8" i="86"/>
  <c r="C18" i="86" s="1"/>
  <c r="D18" i="86" s="1"/>
  <c r="B20" i="86"/>
  <c r="F33" i="88" l="1"/>
  <c r="F31" i="86"/>
  <c r="G31" i="86" s="1"/>
  <c r="F36" i="86"/>
  <c r="C29" i="86"/>
  <c r="C38" i="86"/>
  <c r="L12" i="86"/>
  <c r="L18" i="86"/>
  <c r="Q15" i="92"/>
  <c r="F37" i="88"/>
  <c r="F30" i="88"/>
  <c r="G30" i="88" s="1"/>
  <c r="F29" i="88"/>
  <c r="G29" i="88" s="1"/>
  <c r="F31" i="88"/>
  <c r="F34" i="88"/>
  <c r="G28" i="88"/>
  <c r="F35" i="88"/>
  <c r="F38" i="88"/>
  <c r="F39" i="88"/>
  <c r="C35" i="88"/>
  <c r="C39" i="88"/>
  <c r="C31" i="88"/>
  <c r="F17" i="88"/>
  <c r="G8" i="88"/>
  <c r="F19" i="88"/>
  <c r="F11" i="88"/>
  <c r="F15" i="88"/>
  <c r="F9" i="88"/>
  <c r="G9" i="88" s="1"/>
  <c r="F13" i="88"/>
  <c r="D8" i="88"/>
  <c r="C16" i="88"/>
  <c r="L16" i="88"/>
  <c r="L10" i="88"/>
  <c r="L14" i="88"/>
  <c r="L12" i="88"/>
  <c r="L11" i="88"/>
  <c r="L18" i="88"/>
  <c r="L9" i="88"/>
  <c r="M9" i="88" s="1"/>
  <c r="L19" i="88"/>
  <c r="L17" i="88"/>
  <c r="L15" i="88"/>
  <c r="L13" i="88"/>
  <c r="I39" i="88"/>
  <c r="I35" i="88"/>
  <c r="I31" i="88"/>
  <c r="I33" i="88"/>
  <c r="I38" i="88"/>
  <c r="I34" i="88"/>
  <c r="I30" i="88"/>
  <c r="I29" i="88"/>
  <c r="I37" i="88"/>
  <c r="I36" i="88"/>
  <c r="I32" i="88"/>
  <c r="H28" i="88"/>
  <c r="J28" i="88" s="1"/>
  <c r="K28" i="88" s="1"/>
  <c r="I14" i="88"/>
  <c r="J8" i="88"/>
  <c r="I12" i="88"/>
  <c r="I18" i="88"/>
  <c r="C10" i="88"/>
  <c r="C12" i="88"/>
  <c r="C32" i="88"/>
  <c r="I16" i="88"/>
  <c r="C14" i="88"/>
  <c r="D28" i="88"/>
  <c r="M8" i="88"/>
  <c r="I9" i="88"/>
  <c r="J9" i="88" s="1"/>
  <c r="I11" i="88"/>
  <c r="I13" i="88"/>
  <c r="I15" i="88"/>
  <c r="I17" i="88"/>
  <c r="I19" i="88"/>
  <c r="C29" i="88"/>
  <c r="D29" i="88" s="1"/>
  <c r="C33" i="88"/>
  <c r="C37" i="88"/>
  <c r="C18" i="88"/>
  <c r="C36" i="88"/>
  <c r="F10" i="88"/>
  <c r="F12" i="88"/>
  <c r="F14" i="88"/>
  <c r="F16" i="88"/>
  <c r="F32" i="88"/>
  <c r="C9" i="88"/>
  <c r="C11" i="88"/>
  <c r="C13" i="88"/>
  <c r="C15" i="88"/>
  <c r="C17" i="88"/>
  <c r="C30" i="88"/>
  <c r="C34" i="88"/>
  <c r="C33" i="86"/>
  <c r="D33" i="86" s="1"/>
  <c r="C31" i="86"/>
  <c r="D28" i="86"/>
  <c r="C37" i="86"/>
  <c r="D37" i="86" s="1"/>
  <c r="L9" i="86"/>
  <c r="M9" i="86" s="1"/>
  <c r="M8" i="86"/>
  <c r="L14" i="86"/>
  <c r="M14" i="86" s="1"/>
  <c r="L16" i="86"/>
  <c r="M16" i="86" s="1"/>
  <c r="C14" i="86"/>
  <c r="D14" i="86" s="1"/>
  <c r="C12" i="86"/>
  <c r="C9" i="86"/>
  <c r="D9" i="86" s="1"/>
  <c r="F15" i="86"/>
  <c r="G15" i="86" s="1"/>
  <c r="F18" i="86"/>
  <c r="G18" i="86" s="1"/>
  <c r="F19" i="86"/>
  <c r="G19" i="86" s="1"/>
  <c r="F17" i="86"/>
  <c r="F10" i="86"/>
  <c r="F12" i="86"/>
  <c r="G12" i="86" s="1"/>
  <c r="F16" i="86"/>
  <c r="G16" i="86" s="1"/>
  <c r="F11" i="86"/>
  <c r="F9" i="86"/>
  <c r="G9" i="86" s="1"/>
  <c r="F14" i="86"/>
  <c r="G14" i="86" s="1"/>
  <c r="F13" i="86"/>
  <c r="G13" i="86" s="1"/>
  <c r="I33" i="86"/>
  <c r="I29" i="86"/>
  <c r="I37" i="86"/>
  <c r="I30" i="86"/>
  <c r="I32" i="86"/>
  <c r="I36" i="86"/>
  <c r="I31" i="86"/>
  <c r="I39" i="86"/>
  <c r="I35" i="86"/>
  <c r="I34" i="86"/>
  <c r="I38" i="86"/>
  <c r="I15" i="86"/>
  <c r="J15" i="86" s="1"/>
  <c r="J8" i="86"/>
  <c r="H20" i="86"/>
  <c r="C10" i="86"/>
  <c r="D10" i="86" s="1"/>
  <c r="G11" i="86"/>
  <c r="D12" i="86"/>
  <c r="M12" i="86"/>
  <c r="C17" i="86"/>
  <c r="C19" i="86"/>
  <c r="D19" i="86" s="1"/>
  <c r="G28" i="86"/>
  <c r="C30" i="86"/>
  <c r="D30" i="86" s="1"/>
  <c r="C34" i="86"/>
  <c r="D34" i="86" s="1"/>
  <c r="F37" i="86"/>
  <c r="G37" i="86" s="1"/>
  <c r="D38" i="86"/>
  <c r="M18" i="86"/>
  <c r="I13" i="86"/>
  <c r="J13" i="86" s="1"/>
  <c r="D29" i="86"/>
  <c r="F32" i="86"/>
  <c r="G32" i="86" s="1"/>
  <c r="D8" i="86"/>
  <c r="L10" i="86"/>
  <c r="M10" i="86" s="1"/>
  <c r="I11" i="86"/>
  <c r="J11" i="86" s="1"/>
  <c r="C15" i="86"/>
  <c r="D15" i="86" s="1"/>
  <c r="L15" i="86"/>
  <c r="M15" i="86" s="1"/>
  <c r="D17" i="86"/>
  <c r="L17" i="86"/>
  <c r="M17" i="86" s="1"/>
  <c r="L19" i="86"/>
  <c r="K20" i="86"/>
  <c r="H28" i="86"/>
  <c r="F29" i="86"/>
  <c r="G29" i="86" s="1"/>
  <c r="H32" i="86"/>
  <c r="F33" i="86"/>
  <c r="C35" i="86"/>
  <c r="D35" i="86" s="1"/>
  <c r="C39" i="86"/>
  <c r="C13" i="86"/>
  <c r="D13" i="86" s="1"/>
  <c r="L13" i="86"/>
  <c r="M13" i="86" s="1"/>
  <c r="I16" i="86"/>
  <c r="J16" i="86" s="1"/>
  <c r="I18" i="86"/>
  <c r="J18" i="86" s="1"/>
  <c r="M19" i="86"/>
  <c r="G33" i="86"/>
  <c r="F38" i="86"/>
  <c r="D39" i="86"/>
  <c r="B40" i="86"/>
  <c r="I10" i="86"/>
  <c r="J10" i="86" s="1"/>
  <c r="I19" i="86"/>
  <c r="J19" i="86" s="1"/>
  <c r="G36" i="86"/>
  <c r="I9" i="86"/>
  <c r="J9" i="86" s="1"/>
  <c r="I14" i="86"/>
  <c r="J14" i="86" s="1"/>
  <c r="F30" i="86"/>
  <c r="D31" i="86"/>
  <c r="F34" i="86"/>
  <c r="C36" i="86"/>
  <c r="D36" i="86" s="1"/>
  <c r="G38" i="86"/>
  <c r="J12" i="86"/>
  <c r="I17" i="86"/>
  <c r="J17" i="86" s="1"/>
  <c r="G8" i="86"/>
  <c r="G10" i="86"/>
  <c r="C11" i="86"/>
  <c r="D11" i="86" s="1"/>
  <c r="C16" i="86"/>
  <c r="D16" i="86" s="1"/>
  <c r="G17" i="86"/>
  <c r="G30" i="86"/>
  <c r="G34" i="86"/>
  <c r="F35" i="86"/>
  <c r="G35" i="86" s="1"/>
  <c r="I41" i="84"/>
  <c r="I21" i="84"/>
  <c r="E21" i="84"/>
  <c r="Q21" i="84"/>
  <c r="M21" i="84"/>
  <c r="E41" i="84"/>
  <c r="E39" i="82"/>
  <c r="E19" i="82"/>
  <c r="B19" i="82"/>
  <c r="K19" i="82"/>
  <c r="H19" i="82"/>
  <c r="B39" i="82"/>
  <c r="E39" i="80"/>
  <c r="E19" i="80"/>
  <c r="B19" i="80"/>
  <c r="K19" i="80"/>
  <c r="H19" i="80"/>
  <c r="B39" i="80"/>
  <c r="F40" i="82"/>
  <c r="C40" i="82"/>
  <c r="L20" i="82"/>
  <c r="I20" i="82"/>
  <c r="F20" i="82"/>
  <c r="C20" i="82"/>
  <c r="F40" i="80"/>
  <c r="C40" i="80"/>
  <c r="L20" i="80"/>
  <c r="I20" i="80"/>
  <c r="F20" i="80"/>
  <c r="C20" i="80"/>
  <c r="I40" i="84"/>
  <c r="I20" i="84"/>
  <c r="E20" i="84"/>
  <c r="Q20" i="84"/>
  <c r="M20" i="84"/>
  <c r="E40" i="84"/>
  <c r="E38" i="82"/>
  <c r="E18" i="82"/>
  <c r="B18" i="82"/>
  <c r="K18" i="82"/>
  <c r="H18" i="82"/>
  <c r="B38" i="82"/>
  <c r="E38" i="80"/>
  <c r="E18" i="80"/>
  <c r="B18" i="80"/>
  <c r="K18" i="80"/>
  <c r="H18" i="80"/>
  <c r="B38" i="80"/>
  <c r="I39" i="84"/>
  <c r="I19" i="84"/>
  <c r="E19" i="84"/>
  <c r="Q19" i="84"/>
  <c r="M19" i="84"/>
  <c r="E39" i="84"/>
  <c r="E37" i="82"/>
  <c r="E17" i="82"/>
  <c r="B17" i="82"/>
  <c r="K17" i="82"/>
  <c r="H17" i="82"/>
  <c r="B37" i="82"/>
  <c r="E37" i="80"/>
  <c r="E17" i="80"/>
  <c r="B17" i="80"/>
  <c r="K17" i="80"/>
  <c r="H17" i="80"/>
  <c r="B37" i="80"/>
  <c r="I38" i="84"/>
  <c r="I18" i="84"/>
  <c r="E18" i="84"/>
  <c r="Q18" i="84"/>
  <c r="M18" i="84"/>
  <c r="E38" i="84"/>
  <c r="B36" i="82"/>
  <c r="E36" i="82"/>
  <c r="E16" i="82"/>
  <c r="B16" i="82"/>
  <c r="K16" i="82"/>
  <c r="H16" i="82"/>
  <c r="E36" i="80"/>
  <c r="E16" i="80"/>
  <c r="B16" i="80"/>
  <c r="K16" i="80"/>
  <c r="H16" i="80"/>
  <c r="B36" i="80"/>
  <c r="I37" i="84"/>
  <c r="I17" i="84"/>
  <c r="E17" i="84"/>
  <c r="Q17" i="84"/>
  <c r="E35" i="82"/>
  <c r="E15" i="82"/>
  <c r="B15" i="82"/>
  <c r="K15" i="82"/>
  <c r="E35" i="80"/>
  <c r="E15" i="80"/>
  <c r="B15" i="80"/>
  <c r="K15" i="80"/>
  <c r="I36" i="84"/>
  <c r="I16" i="84"/>
  <c r="E16" i="84"/>
  <c r="Q16" i="84"/>
  <c r="M16" i="84"/>
  <c r="E36" i="84"/>
  <c r="E34" i="82"/>
  <c r="E14" i="82"/>
  <c r="B14" i="82"/>
  <c r="K14" i="82"/>
  <c r="H14" i="82"/>
  <c r="B34" i="82"/>
  <c r="E34" i="80"/>
  <c r="E14" i="80"/>
  <c r="B14" i="80"/>
  <c r="K14" i="80"/>
  <c r="H14" i="80"/>
  <c r="B34" i="80"/>
  <c r="E15" i="84"/>
  <c r="E35" i="84"/>
  <c r="I15" i="84"/>
  <c r="I35" i="84"/>
  <c r="Q15" i="84"/>
  <c r="B13" i="82"/>
  <c r="B33" i="82"/>
  <c r="E13" i="82"/>
  <c r="E33" i="82"/>
  <c r="K13" i="82"/>
  <c r="B13" i="80"/>
  <c r="D9" i="88" l="1"/>
  <c r="H29" i="88"/>
  <c r="J29" i="88" s="1"/>
  <c r="K29" i="88" s="1"/>
  <c r="J10" i="88"/>
  <c r="D30" i="88"/>
  <c r="M10" i="88"/>
  <c r="G31" i="88"/>
  <c r="G10" i="88"/>
  <c r="H40" i="86"/>
  <c r="J37" i="86"/>
  <c r="K37" i="86" s="1"/>
  <c r="J30" i="86"/>
  <c r="K30" i="86" s="1"/>
  <c r="J38" i="86"/>
  <c r="K38" i="86" s="1"/>
  <c r="J29" i="86"/>
  <c r="K29" i="86" s="1"/>
  <c r="J32" i="86"/>
  <c r="K32" i="86" s="1"/>
  <c r="J28" i="86"/>
  <c r="K28" i="86" s="1"/>
  <c r="J36" i="86"/>
  <c r="K36" i="86" s="1"/>
  <c r="J34" i="86"/>
  <c r="K34" i="86" s="1"/>
  <c r="J31" i="86"/>
  <c r="K31" i="86" s="1"/>
  <c r="J39" i="86"/>
  <c r="K39" i="86" s="1"/>
  <c r="J35" i="86"/>
  <c r="K35" i="86" s="1"/>
  <c r="J33" i="86"/>
  <c r="K33" i="86" s="1"/>
  <c r="B33" i="80"/>
  <c r="E13" i="80"/>
  <c r="E33" i="80"/>
  <c r="K13" i="80"/>
  <c r="M35" i="84"/>
  <c r="I34" i="84"/>
  <c r="I14" i="84"/>
  <c r="E14" i="84"/>
  <c r="Q14" i="84"/>
  <c r="E34" i="84"/>
  <c r="E32" i="82"/>
  <c r="E12" i="82"/>
  <c r="B12" i="82"/>
  <c r="K12" i="82"/>
  <c r="B32" i="82"/>
  <c r="E32" i="80"/>
  <c r="E12" i="80"/>
  <c r="B12" i="80"/>
  <c r="K12" i="80"/>
  <c r="B32" i="80"/>
  <c r="I33" i="84"/>
  <c r="I13" i="84"/>
  <c r="E13" i="84"/>
  <c r="Q13" i="84"/>
  <c r="E33" i="84"/>
  <c r="E31" i="82"/>
  <c r="E11" i="82"/>
  <c r="B11" i="82"/>
  <c r="K11" i="82"/>
  <c r="B31" i="82"/>
  <c r="E31" i="80"/>
  <c r="E11" i="80"/>
  <c r="B11" i="80"/>
  <c r="K11" i="80"/>
  <c r="B31" i="80"/>
  <c r="I12" i="84"/>
  <c r="E32" i="84"/>
  <c r="Q12" i="84"/>
  <c r="I32" i="84"/>
  <c r="M12" i="84"/>
  <c r="E12" i="84"/>
  <c r="E10" i="82"/>
  <c r="B30" i="82"/>
  <c r="K10" i="82"/>
  <c r="E30" i="82"/>
  <c r="H10" i="82"/>
  <c r="B10" i="82"/>
  <c r="E10" i="80"/>
  <c r="B30" i="80"/>
  <c r="K10" i="80"/>
  <c r="E30" i="80"/>
  <c r="H10" i="80"/>
  <c r="B10" i="80"/>
  <c r="I31" i="84"/>
  <c r="I42" i="84" s="1"/>
  <c r="I11" i="84"/>
  <c r="E11" i="84"/>
  <c r="Q11" i="84"/>
  <c r="M11" i="84"/>
  <c r="E31" i="84"/>
  <c r="E29" i="82"/>
  <c r="E9" i="82"/>
  <c r="B9" i="82"/>
  <c r="K9" i="82"/>
  <c r="H9" i="82"/>
  <c r="B29" i="82"/>
  <c r="E29" i="80"/>
  <c r="E9" i="80"/>
  <c r="B9" i="80"/>
  <c r="K9" i="80"/>
  <c r="H9" i="80"/>
  <c r="B29" i="80"/>
  <c r="I30" i="84"/>
  <c r="I10" i="84"/>
  <c r="E10" i="84"/>
  <c r="Q10" i="84"/>
  <c r="M10" i="84"/>
  <c r="E30" i="84"/>
  <c r="E28" i="82"/>
  <c r="E8" i="82"/>
  <c r="B8" i="82"/>
  <c r="K8" i="82"/>
  <c r="H8" i="82"/>
  <c r="B28" i="82"/>
  <c r="E28" i="80"/>
  <c r="E8" i="80"/>
  <c r="B8" i="80"/>
  <c r="K8" i="80"/>
  <c r="H8" i="80"/>
  <c r="B28" i="80"/>
  <c r="L40" i="84"/>
  <c r="L39" i="84"/>
  <c r="L31" i="84"/>
  <c r="L36" i="84"/>
  <c r="L35" i="84"/>
  <c r="L33" i="84"/>
  <c r="D42" i="84"/>
  <c r="L38" i="84"/>
  <c r="L30" i="84"/>
  <c r="L41" i="84"/>
  <c r="H22" i="84"/>
  <c r="G42" i="84"/>
  <c r="F42" i="84"/>
  <c r="C42" i="84"/>
  <c r="B42" i="84"/>
  <c r="K41" i="84"/>
  <c r="J41" i="84"/>
  <c r="K40" i="84"/>
  <c r="J40" i="84"/>
  <c r="K39" i="84"/>
  <c r="J39" i="84"/>
  <c r="M38" i="84"/>
  <c r="K38" i="84"/>
  <c r="J38" i="84"/>
  <c r="L37" i="84"/>
  <c r="K37" i="84"/>
  <c r="J37" i="84"/>
  <c r="K36" i="84"/>
  <c r="J36" i="84"/>
  <c r="K35" i="84"/>
  <c r="J35" i="84"/>
  <c r="K34" i="84"/>
  <c r="J34" i="84"/>
  <c r="K33" i="84"/>
  <c r="J33" i="84"/>
  <c r="L32" i="84"/>
  <c r="K32" i="84"/>
  <c r="J32" i="84"/>
  <c r="K31" i="84"/>
  <c r="J31" i="84"/>
  <c r="K30" i="84"/>
  <c r="J30" i="84"/>
  <c r="O22" i="84"/>
  <c r="N22" i="84"/>
  <c r="K22" i="84"/>
  <c r="J22" i="84"/>
  <c r="G22" i="84"/>
  <c r="F22" i="84"/>
  <c r="C22" i="84"/>
  <c r="B22" i="84"/>
  <c r="M41" i="84"/>
  <c r="M40" i="84"/>
  <c r="M39" i="84"/>
  <c r="M37" i="84"/>
  <c r="M36" i="84"/>
  <c r="C39" i="82"/>
  <c r="C35" i="82"/>
  <c r="F28" i="82"/>
  <c r="F36" i="82" s="1"/>
  <c r="C28" i="82"/>
  <c r="C38" i="82" s="1"/>
  <c r="I40" i="82"/>
  <c r="I28" i="82" s="1"/>
  <c r="L8" i="82"/>
  <c r="L18" i="82" s="1"/>
  <c r="I8" i="82"/>
  <c r="I19" i="82" s="1"/>
  <c r="F8" i="82"/>
  <c r="F19" i="82" s="1"/>
  <c r="C8" i="82"/>
  <c r="I40" i="80"/>
  <c r="I28" i="80" s="1"/>
  <c r="I38" i="80" s="1"/>
  <c r="F28" i="80"/>
  <c r="C28" i="80"/>
  <c r="H39" i="80"/>
  <c r="H34" i="80"/>
  <c r="C8" i="80"/>
  <c r="L18" i="80"/>
  <c r="H38" i="80"/>
  <c r="H37" i="80"/>
  <c r="H36" i="80"/>
  <c r="H35" i="80"/>
  <c r="C9" i="80"/>
  <c r="L8" i="80"/>
  <c r="L13" i="80" s="1"/>
  <c r="I8" i="80"/>
  <c r="I18" i="80" s="1"/>
  <c r="F8" i="80"/>
  <c r="F10" i="80" s="1"/>
  <c r="I40" i="75"/>
  <c r="I20" i="75"/>
  <c r="E20" i="75"/>
  <c r="Q20" i="75"/>
  <c r="M20" i="75"/>
  <c r="E40" i="75"/>
  <c r="E39" i="73"/>
  <c r="E19" i="73"/>
  <c r="B19" i="73"/>
  <c r="K19" i="73"/>
  <c r="H19" i="73"/>
  <c r="B39" i="73"/>
  <c r="C40" i="73"/>
  <c r="F40" i="73"/>
  <c r="F40" i="71"/>
  <c r="F20" i="73"/>
  <c r="F20" i="71"/>
  <c r="C20" i="73"/>
  <c r="C20" i="71"/>
  <c r="C40" i="71"/>
  <c r="M11" i="88" l="1"/>
  <c r="D31" i="88"/>
  <c r="G11" i="88"/>
  <c r="J11" i="88"/>
  <c r="G32" i="88"/>
  <c r="H30" i="88"/>
  <c r="J30" i="88" s="1"/>
  <c r="K30" i="88" s="1"/>
  <c r="D10" i="88"/>
  <c r="L19" i="82"/>
  <c r="H33" i="80"/>
  <c r="H32" i="80"/>
  <c r="E22" i="84"/>
  <c r="M34" i="84"/>
  <c r="E40" i="80"/>
  <c r="H31" i="80"/>
  <c r="I22" i="84"/>
  <c r="M33" i="84"/>
  <c r="M22" i="84"/>
  <c r="J18" i="80"/>
  <c r="M32" i="84"/>
  <c r="E42" i="84"/>
  <c r="H30" i="80"/>
  <c r="M31" i="84"/>
  <c r="Q22" i="84"/>
  <c r="H11" i="82"/>
  <c r="H12" i="82" s="1"/>
  <c r="H13" i="82" s="1"/>
  <c r="H15" i="82" s="1"/>
  <c r="B35" i="82"/>
  <c r="G10" i="80"/>
  <c r="M13" i="80"/>
  <c r="D28" i="80"/>
  <c r="H42" i="84"/>
  <c r="P22" i="84"/>
  <c r="L22" i="84"/>
  <c r="L34" i="84"/>
  <c r="L42" i="84" s="1"/>
  <c r="D22" i="84"/>
  <c r="K42" i="84"/>
  <c r="J42" i="84"/>
  <c r="M30" i="84"/>
  <c r="D8" i="82"/>
  <c r="H28" i="82"/>
  <c r="J28" i="82" s="1"/>
  <c r="K28" i="82" s="1"/>
  <c r="F34" i="82"/>
  <c r="G28" i="82"/>
  <c r="F37" i="82"/>
  <c r="F29" i="82"/>
  <c r="G29" i="82" s="1"/>
  <c r="F38" i="82"/>
  <c r="F30" i="82"/>
  <c r="G30" i="82" s="1"/>
  <c r="F33" i="82"/>
  <c r="C31" i="82"/>
  <c r="L9" i="82"/>
  <c r="L11" i="82"/>
  <c r="L13" i="82"/>
  <c r="L15" i="82"/>
  <c r="M8" i="82"/>
  <c r="L17" i="82"/>
  <c r="G8" i="82"/>
  <c r="C9" i="82"/>
  <c r="D9" i="82" s="1"/>
  <c r="C17" i="82"/>
  <c r="C13" i="82"/>
  <c r="C15" i="82"/>
  <c r="C11" i="82"/>
  <c r="C19" i="82"/>
  <c r="I39" i="82"/>
  <c r="I35" i="82"/>
  <c r="I31" i="82"/>
  <c r="I33" i="82"/>
  <c r="I29" i="82"/>
  <c r="I38" i="82"/>
  <c r="I34" i="82"/>
  <c r="I30" i="82"/>
  <c r="I32" i="82"/>
  <c r="I36" i="82"/>
  <c r="I37" i="82"/>
  <c r="H29" i="82"/>
  <c r="I10" i="82"/>
  <c r="I12" i="82"/>
  <c r="I14" i="82"/>
  <c r="F10" i="82"/>
  <c r="F12" i="82"/>
  <c r="F14" i="82"/>
  <c r="F16" i="82"/>
  <c r="F18" i="82"/>
  <c r="M9" i="82"/>
  <c r="I18" i="82"/>
  <c r="J8" i="82"/>
  <c r="F9" i="82"/>
  <c r="F11" i="82"/>
  <c r="F13" i="82"/>
  <c r="F15" i="82"/>
  <c r="F17" i="82"/>
  <c r="D28" i="82"/>
  <c r="F31" i="82"/>
  <c r="F35" i="82"/>
  <c r="F39" i="82"/>
  <c r="G9" i="82"/>
  <c r="C10" i="82"/>
  <c r="C12" i="82"/>
  <c r="C14" i="82"/>
  <c r="C16" i="82"/>
  <c r="C18" i="82"/>
  <c r="C29" i="82"/>
  <c r="D29" i="82" s="1"/>
  <c r="C33" i="82"/>
  <c r="C37" i="82"/>
  <c r="C32" i="82"/>
  <c r="C36" i="82"/>
  <c r="L10" i="82"/>
  <c r="M10" i="82" s="1"/>
  <c r="L12" i="82"/>
  <c r="L14" i="82"/>
  <c r="L16" i="82"/>
  <c r="F32" i="82"/>
  <c r="I16" i="82"/>
  <c r="I9" i="82"/>
  <c r="J9" i="82" s="1"/>
  <c r="I11" i="82"/>
  <c r="I13" i="82"/>
  <c r="I15" i="82"/>
  <c r="I17" i="82"/>
  <c r="C30" i="82"/>
  <c r="C34" i="82"/>
  <c r="C37" i="80"/>
  <c r="L11" i="80"/>
  <c r="M11" i="80" s="1"/>
  <c r="L16" i="80"/>
  <c r="L9" i="80"/>
  <c r="I14" i="80"/>
  <c r="J14" i="80" s="1"/>
  <c r="I12" i="80"/>
  <c r="J12" i="80" s="1"/>
  <c r="H29" i="80"/>
  <c r="D17" i="80"/>
  <c r="D9" i="80"/>
  <c r="B20" i="80"/>
  <c r="C13" i="80"/>
  <c r="D13" i="80" s="1"/>
  <c r="C15" i="80"/>
  <c r="D15" i="80" s="1"/>
  <c r="D8" i="80"/>
  <c r="C19" i="80"/>
  <c r="D19" i="80" s="1"/>
  <c r="C17" i="80"/>
  <c r="C10" i="80"/>
  <c r="D10" i="80" s="1"/>
  <c r="C11" i="80"/>
  <c r="D11" i="80" s="1"/>
  <c r="C12" i="80"/>
  <c r="D12" i="80" s="1"/>
  <c r="C14" i="80"/>
  <c r="D14" i="80" s="1"/>
  <c r="C18" i="80"/>
  <c r="D18" i="80" s="1"/>
  <c r="C16" i="80"/>
  <c r="D16" i="80" s="1"/>
  <c r="F12" i="80"/>
  <c r="G12" i="80" s="1"/>
  <c r="F14" i="80"/>
  <c r="G14" i="80" s="1"/>
  <c r="F15" i="80"/>
  <c r="F18" i="80"/>
  <c r="G18" i="80" s="1"/>
  <c r="F16" i="80"/>
  <c r="F11" i="80"/>
  <c r="G11" i="80" s="1"/>
  <c r="F9" i="80"/>
  <c r="G9" i="80" s="1"/>
  <c r="F13" i="80"/>
  <c r="G13" i="80" s="1"/>
  <c r="F17" i="80"/>
  <c r="G17" i="80" s="1"/>
  <c r="G8" i="80"/>
  <c r="F39" i="80"/>
  <c r="G39" i="80" s="1"/>
  <c r="F35" i="80"/>
  <c r="G35" i="80" s="1"/>
  <c r="F34" i="80"/>
  <c r="G34" i="80" s="1"/>
  <c r="F30" i="80"/>
  <c r="G30" i="80" s="1"/>
  <c r="F38" i="80"/>
  <c r="G38" i="80" s="1"/>
  <c r="F36" i="80"/>
  <c r="G36" i="80" s="1"/>
  <c r="F33" i="80"/>
  <c r="G33" i="80" s="1"/>
  <c r="F29" i="80"/>
  <c r="G29" i="80" s="1"/>
  <c r="F37" i="80"/>
  <c r="G37" i="80" s="1"/>
  <c r="F32" i="80"/>
  <c r="G32" i="80" s="1"/>
  <c r="F19" i="80"/>
  <c r="G19" i="80" s="1"/>
  <c r="B40" i="80"/>
  <c r="D37" i="80"/>
  <c r="F31" i="80"/>
  <c r="G31" i="80" s="1"/>
  <c r="C32" i="80"/>
  <c r="D32" i="80" s="1"/>
  <c r="C36" i="80"/>
  <c r="D36" i="80" s="1"/>
  <c r="C31" i="80"/>
  <c r="D31" i="80" s="1"/>
  <c r="C33" i="80"/>
  <c r="D33" i="80" s="1"/>
  <c r="C39" i="80"/>
  <c r="D39" i="80" s="1"/>
  <c r="C35" i="80"/>
  <c r="D35" i="80" s="1"/>
  <c r="C34" i="80"/>
  <c r="D34" i="80" s="1"/>
  <c r="C30" i="80"/>
  <c r="D30" i="80" s="1"/>
  <c r="C38" i="80"/>
  <c r="D38" i="80" s="1"/>
  <c r="C29" i="80"/>
  <c r="D29" i="80" s="1"/>
  <c r="I33" i="80"/>
  <c r="I29" i="80"/>
  <c r="I37" i="80"/>
  <c r="I32" i="80"/>
  <c r="I34" i="80"/>
  <c r="I36" i="80"/>
  <c r="I31" i="80"/>
  <c r="I39" i="80"/>
  <c r="I35" i="80"/>
  <c r="I30" i="80"/>
  <c r="G15" i="80"/>
  <c r="E20" i="80"/>
  <c r="M9" i="80"/>
  <c r="I10" i="80"/>
  <c r="L14" i="80"/>
  <c r="M14" i="80" s="1"/>
  <c r="I15" i="80"/>
  <c r="J15" i="80" s="1"/>
  <c r="M16" i="80"/>
  <c r="I17" i="80"/>
  <c r="J17" i="80" s="1"/>
  <c r="M18" i="80"/>
  <c r="I19" i="80"/>
  <c r="J19" i="80" s="1"/>
  <c r="G28" i="80"/>
  <c r="J8" i="80"/>
  <c r="J10" i="80"/>
  <c r="L12" i="80"/>
  <c r="M12" i="80" s="1"/>
  <c r="I13" i="80"/>
  <c r="J13" i="80" s="1"/>
  <c r="H20" i="80"/>
  <c r="H28" i="80"/>
  <c r="G16" i="80"/>
  <c r="K20" i="80"/>
  <c r="L10" i="80"/>
  <c r="M10" i="80" s="1"/>
  <c r="I11" i="80"/>
  <c r="J11" i="80" s="1"/>
  <c r="L15" i="80"/>
  <c r="L17" i="80"/>
  <c r="M17" i="80" s="1"/>
  <c r="L19" i="80"/>
  <c r="M19" i="80" s="1"/>
  <c r="M8" i="80"/>
  <c r="I9" i="80"/>
  <c r="J9" i="80" s="1"/>
  <c r="M15" i="80"/>
  <c r="I16" i="80"/>
  <c r="J16" i="80" s="1"/>
  <c r="E39" i="71"/>
  <c r="E19" i="71"/>
  <c r="B19" i="71"/>
  <c r="K19" i="71"/>
  <c r="H19" i="71"/>
  <c r="B39" i="71"/>
  <c r="I39" i="75"/>
  <c r="I19" i="75"/>
  <c r="E19" i="75"/>
  <c r="Q19" i="75"/>
  <c r="M19" i="75"/>
  <c r="E39" i="75"/>
  <c r="E38" i="73"/>
  <c r="E18" i="73"/>
  <c r="B18" i="73"/>
  <c r="K18" i="73"/>
  <c r="H18" i="73"/>
  <c r="B38" i="73"/>
  <c r="E38" i="71"/>
  <c r="E18" i="71"/>
  <c r="B18" i="71"/>
  <c r="K18" i="71"/>
  <c r="H18" i="71"/>
  <c r="B38" i="71"/>
  <c r="I38" i="75"/>
  <c r="I18" i="75"/>
  <c r="E18" i="75"/>
  <c r="Q18" i="75"/>
  <c r="M18" i="75"/>
  <c r="E38" i="75"/>
  <c r="E37" i="73"/>
  <c r="E17" i="73"/>
  <c r="B17" i="73"/>
  <c r="K17" i="73"/>
  <c r="H17" i="73"/>
  <c r="B37" i="73"/>
  <c r="E37" i="71"/>
  <c r="E17" i="71"/>
  <c r="B17" i="71"/>
  <c r="K17" i="71"/>
  <c r="H17" i="71"/>
  <c r="B37" i="71"/>
  <c r="G12" i="88" l="1"/>
  <c r="G33" i="88"/>
  <c r="J12" i="88"/>
  <c r="M12" i="88"/>
  <c r="H31" i="88"/>
  <c r="J31" i="88" s="1"/>
  <c r="K31" i="88" s="1"/>
  <c r="D11" i="88"/>
  <c r="D32" i="88"/>
  <c r="M42" i="84"/>
  <c r="G31" i="82"/>
  <c r="G10" i="82"/>
  <c r="D10" i="82"/>
  <c r="J29" i="82"/>
  <c r="K29" i="82" s="1"/>
  <c r="J10" i="82"/>
  <c r="H30" i="82"/>
  <c r="J30" i="82" s="1"/>
  <c r="K30" i="82" s="1"/>
  <c r="H31" i="82"/>
  <c r="J31" i="82" s="1"/>
  <c r="K31" i="82" s="1"/>
  <c r="D30" i="82"/>
  <c r="D11" i="82"/>
  <c r="G11" i="82"/>
  <c r="M11" i="82"/>
  <c r="G32" i="82"/>
  <c r="H40" i="80"/>
  <c r="J37" i="80"/>
  <c r="K37" i="80" s="1"/>
  <c r="J32" i="80"/>
  <c r="K32" i="80" s="1"/>
  <c r="J28" i="80"/>
  <c r="K28" i="80" s="1"/>
  <c r="J36" i="80"/>
  <c r="K36" i="80" s="1"/>
  <c r="J31" i="80"/>
  <c r="K31" i="80" s="1"/>
  <c r="J39" i="80"/>
  <c r="K39" i="80" s="1"/>
  <c r="J35" i="80"/>
  <c r="K35" i="80" s="1"/>
  <c r="J34" i="80"/>
  <c r="K34" i="80" s="1"/>
  <c r="J30" i="80"/>
  <c r="K30" i="80" s="1"/>
  <c r="J38" i="80"/>
  <c r="K38" i="80" s="1"/>
  <c r="J33" i="80"/>
  <c r="K33" i="80" s="1"/>
  <c r="J29" i="80"/>
  <c r="K29" i="80" s="1"/>
  <c r="I17" i="75"/>
  <c r="E17" i="75"/>
  <c r="Q17" i="75"/>
  <c r="M17" i="75"/>
  <c r="E37" i="75"/>
  <c r="E16" i="73"/>
  <c r="B16" i="73"/>
  <c r="K16" i="73"/>
  <c r="H16" i="73"/>
  <c r="B36" i="73"/>
  <c r="E16" i="71"/>
  <c r="B16" i="71"/>
  <c r="K16" i="71"/>
  <c r="H16" i="71"/>
  <c r="B36" i="71"/>
  <c r="I37" i="75"/>
  <c r="E36" i="73"/>
  <c r="H15" i="73"/>
  <c r="E36" i="71"/>
  <c r="I36" i="75"/>
  <c r="I16" i="75"/>
  <c r="E16" i="75"/>
  <c r="Q16" i="75"/>
  <c r="E35" i="73"/>
  <c r="E15" i="73"/>
  <c r="B15" i="73"/>
  <c r="K15" i="73"/>
  <c r="E35" i="71"/>
  <c r="E15" i="71"/>
  <c r="B15" i="71"/>
  <c r="K15" i="71"/>
  <c r="I35" i="75"/>
  <c r="I15" i="75"/>
  <c r="E15" i="75"/>
  <c r="Q15" i="75"/>
  <c r="M15" i="75"/>
  <c r="E35" i="75"/>
  <c r="E34" i="73"/>
  <c r="E14" i="73"/>
  <c r="B14" i="73"/>
  <c r="K14" i="73"/>
  <c r="H14" i="73"/>
  <c r="B34" i="73"/>
  <c r="E34" i="71"/>
  <c r="E14" i="71"/>
  <c r="B14" i="71"/>
  <c r="K14" i="71"/>
  <c r="H14" i="71"/>
  <c r="B34" i="71"/>
  <c r="E14" i="75"/>
  <c r="I14" i="75"/>
  <c r="I34" i="75"/>
  <c r="Q14" i="75"/>
  <c r="E34" i="75"/>
  <c r="B13" i="73"/>
  <c r="E13" i="73"/>
  <c r="E33" i="73"/>
  <c r="K13" i="73"/>
  <c r="B33" i="73"/>
  <c r="B13" i="71"/>
  <c r="E13" i="71"/>
  <c r="E33" i="71"/>
  <c r="K13" i="71"/>
  <c r="B33" i="71"/>
  <c r="I33" i="75"/>
  <c r="I13" i="75"/>
  <c r="E13" i="75"/>
  <c r="Q13" i="75"/>
  <c r="E33" i="75"/>
  <c r="E32" i="73"/>
  <c r="E12" i="73"/>
  <c r="B12" i="73"/>
  <c r="K12" i="73"/>
  <c r="B32" i="73"/>
  <c r="E32" i="71"/>
  <c r="E12" i="71"/>
  <c r="B12" i="71"/>
  <c r="K12" i="71"/>
  <c r="B32" i="71"/>
  <c r="B31" i="71"/>
  <c r="I32" i="75"/>
  <c r="I12" i="75"/>
  <c r="E12" i="75"/>
  <c r="Q12" i="75"/>
  <c r="E32" i="75"/>
  <c r="E31" i="73"/>
  <c r="E11" i="73"/>
  <c r="B11" i="73"/>
  <c r="K11" i="73"/>
  <c r="B31" i="73"/>
  <c r="E31" i="71"/>
  <c r="E11" i="71"/>
  <c r="B11" i="71"/>
  <c r="K11" i="71"/>
  <c r="I31" i="75"/>
  <c r="I30" i="75"/>
  <c r="E30" i="73"/>
  <c r="E29" i="73"/>
  <c r="E30" i="71"/>
  <c r="E29" i="71"/>
  <c r="E31" i="75"/>
  <c r="E30" i="75"/>
  <c r="B30" i="73"/>
  <c r="B29" i="73"/>
  <c r="B30" i="71"/>
  <c r="B29" i="71"/>
  <c r="Q11" i="75"/>
  <c r="Q10" i="75"/>
  <c r="K10" i="73"/>
  <c r="K9" i="73"/>
  <c r="K10" i="71"/>
  <c r="K9" i="71"/>
  <c r="M11" i="75"/>
  <c r="M10" i="75"/>
  <c r="H10" i="73"/>
  <c r="H9" i="73"/>
  <c r="H10" i="71"/>
  <c r="H9" i="71"/>
  <c r="I11" i="75"/>
  <c r="I10" i="75"/>
  <c r="E11" i="75"/>
  <c r="E10" i="75"/>
  <c r="E10" i="73"/>
  <c r="E9" i="73"/>
  <c r="B10" i="73"/>
  <c r="B9" i="73"/>
  <c r="E10" i="71"/>
  <c r="E9" i="71"/>
  <c r="B10" i="71"/>
  <c r="B9" i="71"/>
  <c r="M13" i="88" l="1"/>
  <c r="J13" i="88"/>
  <c r="D33" i="88"/>
  <c r="G34" i="88"/>
  <c r="D12" i="88"/>
  <c r="H32" i="88"/>
  <c r="J32" i="88" s="1"/>
  <c r="K32" i="88" s="1"/>
  <c r="G13" i="88"/>
  <c r="D12" i="82"/>
  <c r="G33" i="82"/>
  <c r="H32" i="82"/>
  <c r="J32" i="82" s="1"/>
  <c r="K32" i="82" s="1"/>
  <c r="D31" i="82"/>
  <c r="M12" i="82"/>
  <c r="G12" i="82"/>
  <c r="J11" i="82"/>
  <c r="I29" i="75"/>
  <c r="I9" i="75"/>
  <c r="E9" i="75"/>
  <c r="Q9" i="75"/>
  <c r="M9" i="75"/>
  <c r="E29" i="75"/>
  <c r="H33" i="88" l="1"/>
  <c r="J33" i="88" s="1"/>
  <c r="K33" i="88" s="1"/>
  <c r="D13" i="88"/>
  <c r="D34" i="88"/>
  <c r="G35" i="88"/>
  <c r="J14" i="88"/>
  <c r="G14" i="88"/>
  <c r="M14" i="88"/>
  <c r="G13" i="82"/>
  <c r="M13" i="82"/>
  <c r="D32" i="82"/>
  <c r="H33" i="82"/>
  <c r="J33" i="82" s="1"/>
  <c r="K33" i="82" s="1"/>
  <c r="J12" i="82"/>
  <c r="G34" i="82"/>
  <c r="D13" i="82"/>
  <c r="E28" i="73"/>
  <c r="E8" i="73"/>
  <c r="B8" i="73"/>
  <c r="K8" i="73"/>
  <c r="H8" i="73"/>
  <c r="B28" i="73"/>
  <c r="E28" i="71"/>
  <c r="E8" i="71"/>
  <c r="B8" i="71"/>
  <c r="K8" i="71"/>
  <c r="H8" i="71"/>
  <c r="B28" i="71"/>
  <c r="G36" i="88" l="1"/>
  <c r="J15" i="88"/>
  <c r="M15" i="88"/>
  <c r="D35" i="88"/>
  <c r="G15" i="88"/>
  <c r="H34" i="88"/>
  <c r="J34" i="88" s="1"/>
  <c r="K34" i="88" s="1"/>
  <c r="D14" i="88"/>
  <c r="G14" i="82"/>
  <c r="J13" i="82"/>
  <c r="G35" i="82"/>
  <c r="H34" i="82"/>
  <c r="J34" i="82" s="1"/>
  <c r="K34" i="82" s="1"/>
  <c r="D33" i="82"/>
  <c r="M14" i="82"/>
  <c r="D14" i="82"/>
  <c r="G41" i="75"/>
  <c r="C41" i="75"/>
  <c r="K40" i="75"/>
  <c r="K39" i="75"/>
  <c r="K38" i="75"/>
  <c r="K37" i="75"/>
  <c r="K36" i="75"/>
  <c r="M36" i="75"/>
  <c r="L35" i="75"/>
  <c r="K35" i="75"/>
  <c r="K34" i="75"/>
  <c r="E41" i="75"/>
  <c r="K33" i="75"/>
  <c r="K32" i="75"/>
  <c r="K31" i="75"/>
  <c r="K30" i="75"/>
  <c r="I41" i="75"/>
  <c r="K29" i="75"/>
  <c r="H41" i="75"/>
  <c r="F41" i="75"/>
  <c r="D41" i="75"/>
  <c r="B41" i="75"/>
  <c r="O21" i="75"/>
  <c r="M21" i="75"/>
  <c r="K21" i="75"/>
  <c r="G21" i="75"/>
  <c r="C21" i="75"/>
  <c r="M40" i="75"/>
  <c r="L40" i="75"/>
  <c r="J40" i="75"/>
  <c r="M39" i="75"/>
  <c r="L39" i="75"/>
  <c r="J39" i="75"/>
  <c r="M38" i="75"/>
  <c r="L38" i="75"/>
  <c r="J38" i="75"/>
  <c r="M37" i="75"/>
  <c r="L37" i="75"/>
  <c r="J37" i="75"/>
  <c r="L36" i="75"/>
  <c r="J36" i="75"/>
  <c r="M35" i="75"/>
  <c r="J35" i="75"/>
  <c r="J34" i="75"/>
  <c r="M34" i="75"/>
  <c r="L34" i="75"/>
  <c r="Q21" i="75"/>
  <c r="L33" i="75"/>
  <c r="M33" i="75"/>
  <c r="J33" i="75"/>
  <c r="M32" i="75"/>
  <c r="L32" i="75"/>
  <c r="J32" i="75"/>
  <c r="M31" i="75"/>
  <c r="L31" i="75"/>
  <c r="J31" i="75"/>
  <c r="M30" i="75"/>
  <c r="L30" i="75"/>
  <c r="J30" i="75"/>
  <c r="P21" i="75"/>
  <c r="N21" i="75"/>
  <c r="L21" i="75"/>
  <c r="J21" i="75"/>
  <c r="I21" i="75"/>
  <c r="H21" i="75"/>
  <c r="F21" i="75"/>
  <c r="M29" i="75"/>
  <c r="D21" i="75"/>
  <c r="J29" i="75"/>
  <c r="F28" i="73"/>
  <c r="C28" i="73"/>
  <c r="C38" i="73" s="1"/>
  <c r="H28" i="73"/>
  <c r="F8" i="73"/>
  <c r="F18" i="73" s="1"/>
  <c r="I40" i="73"/>
  <c r="I28" i="73" s="1"/>
  <c r="L8" i="73"/>
  <c r="L18" i="73" s="1"/>
  <c r="I8" i="73"/>
  <c r="I19" i="73" s="1"/>
  <c r="C28" i="71"/>
  <c r="H33" i="71"/>
  <c r="F28" i="71"/>
  <c r="F36" i="71" s="1"/>
  <c r="C8" i="71"/>
  <c r="H39" i="71"/>
  <c r="H38" i="71"/>
  <c r="H37" i="71"/>
  <c r="H36" i="71"/>
  <c r="H35" i="71"/>
  <c r="H34" i="71"/>
  <c r="K20" i="71"/>
  <c r="H31" i="71"/>
  <c r="H30" i="71"/>
  <c r="H29" i="71"/>
  <c r="L8" i="71"/>
  <c r="L10" i="71" s="1"/>
  <c r="M10" i="71" s="1"/>
  <c r="I8" i="71"/>
  <c r="I11" i="71" s="1"/>
  <c r="J11" i="71" s="1"/>
  <c r="F8" i="71"/>
  <c r="F19" i="71" s="1"/>
  <c r="B20" i="71"/>
  <c r="D36" i="88" l="1"/>
  <c r="G37" i="88"/>
  <c r="M16" i="88"/>
  <c r="H35" i="88"/>
  <c r="J35" i="88" s="1"/>
  <c r="K35" i="88" s="1"/>
  <c r="D15" i="88"/>
  <c r="J16" i="88"/>
  <c r="G16" i="88"/>
  <c r="H35" i="82"/>
  <c r="J35" i="82" s="1"/>
  <c r="K35" i="82" s="1"/>
  <c r="D34" i="82"/>
  <c r="G15" i="82"/>
  <c r="D15" i="82"/>
  <c r="G36" i="82"/>
  <c r="J14" i="82"/>
  <c r="M15" i="82"/>
  <c r="F36" i="73"/>
  <c r="F37" i="73"/>
  <c r="F33" i="73"/>
  <c r="F29" i="73"/>
  <c r="G29" i="73" s="1"/>
  <c r="J8" i="73"/>
  <c r="F12" i="71"/>
  <c r="G12" i="71" s="1"/>
  <c r="C8" i="73"/>
  <c r="C9" i="73" s="1"/>
  <c r="D9" i="73" s="1"/>
  <c r="M8" i="73"/>
  <c r="K41" i="75"/>
  <c r="F32" i="71"/>
  <c r="G32" i="71" s="1"/>
  <c r="F34" i="71"/>
  <c r="G34" i="71" s="1"/>
  <c r="L13" i="71"/>
  <c r="M13" i="71" s="1"/>
  <c r="M8" i="71"/>
  <c r="F16" i="71"/>
  <c r="G16" i="71" s="1"/>
  <c r="J41" i="75"/>
  <c r="B21" i="75"/>
  <c r="L29" i="75"/>
  <c r="L41" i="75" s="1"/>
  <c r="E21" i="75"/>
  <c r="M41" i="75" s="1"/>
  <c r="J28" i="73"/>
  <c r="K28" i="73" s="1"/>
  <c r="H11" i="73"/>
  <c r="I39" i="73"/>
  <c r="I35" i="73"/>
  <c r="I31" i="73"/>
  <c r="I38" i="73"/>
  <c r="I34" i="73"/>
  <c r="I30" i="73"/>
  <c r="I37" i="73"/>
  <c r="I33" i="73"/>
  <c r="I29" i="73"/>
  <c r="I36" i="73"/>
  <c r="I32" i="73"/>
  <c r="G8" i="73"/>
  <c r="H29" i="73"/>
  <c r="C31" i="73"/>
  <c r="C35" i="73"/>
  <c r="C39" i="73"/>
  <c r="L9" i="73"/>
  <c r="L11" i="73"/>
  <c r="L13" i="73"/>
  <c r="L15" i="73"/>
  <c r="L17" i="73"/>
  <c r="L19" i="73"/>
  <c r="F30" i="73"/>
  <c r="F34" i="73"/>
  <c r="F38" i="73"/>
  <c r="F10" i="73"/>
  <c r="G10" i="73" s="1"/>
  <c r="I10" i="73"/>
  <c r="J10" i="73" s="1"/>
  <c r="I12" i="73"/>
  <c r="I14" i="73"/>
  <c r="I16" i="73"/>
  <c r="I18" i="73"/>
  <c r="C32" i="73"/>
  <c r="C36" i="73"/>
  <c r="F9" i="73"/>
  <c r="G9" i="73" s="1"/>
  <c r="F11" i="73"/>
  <c r="F13" i="73"/>
  <c r="F15" i="73"/>
  <c r="F17" i="73"/>
  <c r="F19" i="73"/>
  <c r="D28" i="73"/>
  <c r="F31" i="73"/>
  <c r="F35" i="73"/>
  <c r="F39" i="73"/>
  <c r="F16" i="73"/>
  <c r="C29" i="73"/>
  <c r="D29" i="73" s="1"/>
  <c r="C33" i="73"/>
  <c r="C37" i="73"/>
  <c r="L10" i="73"/>
  <c r="L12" i="73"/>
  <c r="L14" i="73"/>
  <c r="L16" i="73"/>
  <c r="F32" i="73"/>
  <c r="F12" i="73"/>
  <c r="F14" i="73"/>
  <c r="I9" i="73"/>
  <c r="J9" i="73" s="1"/>
  <c r="I11" i="73"/>
  <c r="I13" i="73"/>
  <c r="I15" i="73"/>
  <c r="I17" i="73"/>
  <c r="G28" i="73"/>
  <c r="C30" i="73"/>
  <c r="C34" i="73"/>
  <c r="C19" i="71"/>
  <c r="D19" i="71" s="1"/>
  <c r="C15" i="71"/>
  <c r="D15" i="71" s="1"/>
  <c r="C10" i="71"/>
  <c r="D10" i="71" s="1"/>
  <c r="C12" i="71"/>
  <c r="C17" i="71"/>
  <c r="D17" i="71" s="1"/>
  <c r="C14" i="71"/>
  <c r="D14" i="71" s="1"/>
  <c r="C13" i="71"/>
  <c r="D13" i="71" s="1"/>
  <c r="C11" i="71"/>
  <c r="D11" i="71" s="1"/>
  <c r="C9" i="71"/>
  <c r="D9" i="71" s="1"/>
  <c r="C18" i="71"/>
  <c r="D18" i="71" s="1"/>
  <c r="C16" i="71"/>
  <c r="D16" i="71" s="1"/>
  <c r="C33" i="71"/>
  <c r="D33" i="71" s="1"/>
  <c r="C31" i="71"/>
  <c r="D31" i="71" s="1"/>
  <c r="C37" i="71"/>
  <c r="D37" i="71" s="1"/>
  <c r="C36" i="71"/>
  <c r="D36" i="71" s="1"/>
  <c r="C32" i="71"/>
  <c r="D32" i="71" s="1"/>
  <c r="C39" i="71"/>
  <c r="D39" i="71" s="1"/>
  <c r="C35" i="71"/>
  <c r="D35" i="71" s="1"/>
  <c r="C30" i="71"/>
  <c r="C34" i="71"/>
  <c r="C38" i="71"/>
  <c r="D38" i="71" s="1"/>
  <c r="C29" i="71"/>
  <c r="I14" i="71"/>
  <c r="J14" i="71" s="1"/>
  <c r="I40" i="71"/>
  <c r="I28" i="71" s="1"/>
  <c r="F10" i="71"/>
  <c r="G10" i="71" s="1"/>
  <c r="F15" i="71"/>
  <c r="G15" i="71" s="1"/>
  <c r="L16" i="71"/>
  <c r="L18" i="71"/>
  <c r="M18" i="71" s="1"/>
  <c r="E20" i="71"/>
  <c r="D29" i="71"/>
  <c r="F37" i="71"/>
  <c r="G37" i="71" s="1"/>
  <c r="I9" i="71"/>
  <c r="J9" i="71" s="1"/>
  <c r="G8" i="71"/>
  <c r="L11" i="71"/>
  <c r="M11" i="71" s="1"/>
  <c r="I12" i="71"/>
  <c r="J12" i="71" s="1"/>
  <c r="M16" i="71"/>
  <c r="I17" i="71"/>
  <c r="J17" i="71" s="1"/>
  <c r="I19" i="71"/>
  <c r="J19" i="71" s="1"/>
  <c r="G28" i="71"/>
  <c r="H32" i="71"/>
  <c r="F33" i="71"/>
  <c r="G33" i="71" s="1"/>
  <c r="D34" i="71"/>
  <c r="G19" i="71"/>
  <c r="G36" i="71"/>
  <c r="L9" i="71"/>
  <c r="M9" i="71" s="1"/>
  <c r="F13" i="71"/>
  <c r="G13" i="71" s="1"/>
  <c r="L14" i="71"/>
  <c r="M14" i="71" s="1"/>
  <c r="I15" i="71"/>
  <c r="J15" i="71" s="1"/>
  <c r="F18" i="71"/>
  <c r="G18" i="71" s="1"/>
  <c r="H20" i="71"/>
  <c r="H28" i="71"/>
  <c r="F29" i="71"/>
  <c r="G29" i="71" s="1"/>
  <c r="D30" i="71"/>
  <c r="F38" i="71"/>
  <c r="G38" i="71" s="1"/>
  <c r="B40" i="71"/>
  <c r="F11" i="71"/>
  <c r="G11" i="71" s="1"/>
  <c r="L12" i="71"/>
  <c r="M12" i="71" s="1"/>
  <c r="I13" i="71"/>
  <c r="L17" i="71"/>
  <c r="M17" i="71" s="1"/>
  <c r="L19" i="71"/>
  <c r="M19" i="71" s="1"/>
  <c r="F30" i="71"/>
  <c r="G30" i="71" s="1"/>
  <c r="F35" i="71"/>
  <c r="G35" i="71" s="1"/>
  <c r="F39" i="71"/>
  <c r="G39" i="71" s="1"/>
  <c r="E40" i="71"/>
  <c r="J8" i="71"/>
  <c r="D12" i="71"/>
  <c r="J13" i="71"/>
  <c r="F14" i="71"/>
  <c r="G14" i="71" s="1"/>
  <c r="L15" i="71"/>
  <c r="M15" i="71" s="1"/>
  <c r="I16" i="71"/>
  <c r="J16" i="71" s="1"/>
  <c r="I18" i="71"/>
  <c r="J18" i="71" s="1"/>
  <c r="I10" i="71"/>
  <c r="J10" i="71" s="1"/>
  <c r="F9" i="71"/>
  <c r="G9" i="71" s="1"/>
  <c r="D8" i="71"/>
  <c r="F17" i="71"/>
  <c r="G17" i="71" s="1"/>
  <c r="D28" i="71"/>
  <c r="F31" i="71"/>
  <c r="G31" i="71" s="1"/>
  <c r="D16" i="88" l="1"/>
  <c r="H36" i="88"/>
  <c r="J36" i="88" s="1"/>
  <c r="K36" i="88" s="1"/>
  <c r="G17" i="88"/>
  <c r="M17" i="88"/>
  <c r="J17" i="88"/>
  <c r="G38" i="88"/>
  <c r="D37" i="88"/>
  <c r="G37" i="82"/>
  <c r="D16" i="82"/>
  <c r="M16" i="82"/>
  <c r="G16" i="82"/>
  <c r="J15" i="82"/>
  <c r="H36" i="82"/>
  <c r="J36" i="82" s="1"/>
  <c r="K36" i="82" s="1"/>
  <c r="D35" i="82"/>
  <c r="C10" i="73"/>
  <c r="D10" i="73" s="1"/>
  <c r="C19" i="73"/>
  <c r="C17" i="73"/>
  <c r="C13" i="73"/>
  <c r="C15" i="73"/>
  <c r="C16" i="73"/>
  <c r="C11" i="73"/>
  <c r="C14" i="73"/>
  <c r="C12" i="73"/>
  <c r="C18" i="73"/>
  <c r="D8" i="73"/>
  <c r="H40" i="71"/>
  <c r="D30" i="73"/>
  <c r="G11" i="73"/>
  <c r="D11" i="73"/>
  <c r="J29" i="73"/>
  <c r="K29" i="73" s="1"/>
  <c r="M9" i="73"/>
  <c r="H12" i="73"/>
  <c r="J11" i="73"/>
  <c r="G30" i="73"/>
  <c r="I34" i="71"/>
  <c r="J34" i="71" s="1"/>
  <c r="K34" i="71" s="1"/>
  <c r="I38" i="71"/>
  <c r="J38" i="71" s="1"/>
  <c r="K38" i="71" s="1"/>
  <c r="I29" i="71"/>
  <c r="J29" i="71" s="1"/>
  <c r="K29" i="71" s="1"/>
  <c r="I33" i="71"/>
  <c r="J33" i="71" s="1"/>
  <c r="K33" i="71" s="1"/>
  <c r="I37" i="71"/>
  <c r="J37" i="71" s="1"/>
  <c r="K37" i="71" s="1"/>
  <c r="I32" i="71"/>
  <c r="J32" i="71" s="1"/>
  <c r="K32" i="71" s="1"/>
  <c r="I36" i="71"/>
  <c r="J36" i="71" s="1"/>
  <c r="K36" i="71" s="1"/>
  <c r="I31" i="71"/>
  <c r="J31" i="71" s="1"/>
  <c r="K31" i="71" s="1"/>
  <c r="I39" i="71"/>
  <c r="J39" i="71" s="1"/>
  <c r="K39" i="71" s="1"/>
  <c r="I35" i="71"/>
  <c r="J35" i="71" s="1"/>
  <c r="K35" i="71" s="1"/>
  <c r="I30" i="71"/>
  <c r="J30" i="71" s="1"/>
  <c r="K30" i="71" s="1"/>
  <c r="J28" i="71"/>
  <c r="K28" i="71" s="1"/>
  <c r="I40" i="69"/>
  <c r="E39" i="65"/>
  <c r="E40" i="69"/>
  <c r="B39" i="65"/>
  <c r="Q20" i="69"/>
  <c r="K19" i="65"/>
  <c r="M20" i="69"/>
  <c r="H19" i="65"/>
  <c r="I20" i="69"/>
  <c r="E19" i="65"/>
  <c r="E20" i="69"/>
  <c r="B19" i="65"/>
  <c r="F40" i="67"/>
  <c r="F40" i="65"/>
  <c r="C40" i="67"/>
  <c r="C40" i="65"/>
  <c r="F20" i="67"/>
  <c r="F20" i="65"/>
  <c r="C20" i="67"/>
  <c r="C20" i="65"/>
  <c r="G18" i="88" l="1"/>
  <c r="G39" i="88"/>
  <c r="M18" i="88"/>
  <c r="D38" i="88"/>
  <c r="J18" i="88"/>
  <c r="H37" i="88"/>
  <c r="J37" i="88" s="1"/>
  <c r="K37" i="88" s="1"/>
  <c r="D17" i="88"/>
  <c r="G17" i="82"/>
  <c r="G38" i="82"/>
  <c r="M17" i="82"/>
  <c r="D17" i="82"/>
  <c r="D36" i="82"/>
  <c r="H37" i="82"/>
  <c r="J37" i="82" s="1"/>
  <c r="K37" i="82" s="1"/>
  <c r="J16" i="82"/>
  <c r="D12" i="73"/>
  <c r="G31" i="73"/>
  <c r="G12" i="73"/>
  <c r="D31" i="73"/>
  <c r="H13" i="73"/>
  <c r="J12" i="73"/>
  <c r="M10" i="73"/>
  <c r="H30" i="73"/>
  <c r="J30" i="73" s="1"/>
  <c r="K30" i="73" s="1"/>
  <c r="I39" i="69"/>
  <c r="E39" i="69"/>
  <c r="Q19" i="69"/>
  <c r="M19" i="69"/>
  <c r="I19" i="69"/>
  <c r="E19" i="69"/>
  <c r="E38" i="65"/>
  <c r="B38" i="65"/>
  <c r="K18" i="65"/>
  <c r="H18" i="65"/>
  <c r="E18" i="65"/>
  <c r="B18" i="65"/>
  <c r="H38" i="88" l="1"/>
  <c r="J38" i="88" s="1"/>
  <c r="K38" i="88" s="1"/>
  <c r="D18" i="88"/>
  <c r="B40" i="88"/>
  <c r="D39" i="88"/>
  <c r="M19" i="88"/>
  <c r="K20" i="88"/>
  <c r="E20" i="88"/>
  <c r="G19" i="88"/>
  <c r="H20" i="88"/>
  <c r="J19" i="88"/>
  <c r="D18" i="82"/>
  <c r="M18" i="82"/>
  <c r="J17" i="82"/>
  <c r="G39" i="82"/>
  <c r="E40" i="82"/>
  <c r="D37" i="82"/>
  <c r="G18" i="82"/>
  <c r="D32" i="73"/>
  <c r="G13" i="73"/>
  <c r="G32" i="73"/>
  <c r="J13" i="73"/>
  <c r="M11" i="73"/>
  <c r="H31" i="73"/>
  <c r="J31" i="73" s="1"/>
  <c r="K31" i="73" s="1"/>
  <c r="D13" i="73"/>
  <c r="Q18" i="69"/>
  <c r="I38" i="69"/>
  <c r="I18" i="69"/>
  <c r="E18" i="69"/>
  <c r="M18" i="69"/>
  <c r="E38" i="69"/>
  <c r="E37" i="65"/>
  <c r="E17" i="65"/>
  <c r="B17" i="65"/>
  <c r="K17" i="65"/>
  <c r="H17" i="65"/>
  <c r="B37" i="65"/>
  <c r="H39" i="88" l="1"/>
  <c r="J39" i="88" s="1"/>
  <c r="K39" i="88" s="1"/>
  <c r="H40" i="88"/>
  <c r="D19" i="88"/>
  <c r="D38" i="82"/>
  <c r="K20" i="82"/>
  <c r="M19" i="82"/>
  <c r="H38" i="82"/>
  <c r="J38" i="82" s="1"/>
  <c r="K38" i="82" s="1"/>
  <c r="H39" i="82"/>
  <c r="J39" i="82" s="1"/>
  <c r="K39" i="82" s="1"/>
  <c r="J18" i="82"/>
  <c r="E20" i="82"/>
  <c r="G19" i="82"/>
  <c r="D19" i="82"/>
  <c r="B20" i="82"/>
  <c r="G33" i="73"/>
  <c r="J14" i="73"/>
  <c r="D14" i="73"/>
  <c r="G14" i="73"/>
  <c r="M12" i="73"/>
  <c r="H32" i="73"/>
  <c r="J32" i="73" s="1"/>
  <c r="K32" i="73" s="1"/>
  <c r="D33" i="73"/>
  <c r="I17" i="69"/>
  <c r="E17" i="69"/>
  <c r="Q17" i="69"/>
  <c r="E37" i="69"/>
  <c r="E16" i="65"/>
  <c r="B16" i="65"/>
  <c r="K16" i="65"/>
  <c r="B36" i="65"/>
  <c r="H20" i="82" l="1"/>
  <c r="J19" i="82"/>
  <c r="B40" i="82"/>
  <c r="D39" i="82"/>
  <c r="G15" i="73"/>
  <c r="B35" i="73"/>
  <c r="D34" i="73"/>
  <c r="M13" i="73"/>
  <c r="H33" i="73"/>
  <c r="J33" i="73" s="1"/>
  <c r="K33" i="73" s="1"/>
  <c r="D15" i="73"/>
  <c r="J15" i="73"/>
  <c r="G34" i="73"/>
  <c r="I37" i="69"/>
  <c r="E36" i="65"/>
  <c r="H40" i="82" l="1"/>
  <c r="D35" i="73"/>
  <c r="G35" i="73"/>
  <c r="J16" i="73"/>
  <c r="M14" i="73"/>
  <c r="H34" i="73"/>
  <c r="J34" i="73" s="1"/>
  <c r="K34" i="73" s="1"/>
  <c r="D16" i="73"/>
  <c r="G16" i="73"/>
  <c r="E16" i="69"/>
  <c r="I16" i="69"/>
  <c r="I36" i="69"/>
  <c r="Q16" i="69"/>
  <c r="M15" i="73" l="1"/>
  <c r="H35" i="73"/>
  <c r="J35" i="73" s="1"/>
  <c r="K35" i="73" s="1"/>
  <c r="G17" i="73"/>
  <c r="J17" i="73"/>
  <c r="D17" i="73"/>
  <c r="G36" i="73"/>
  <c r="D36" i="73"/>
  <c r="B15" i="65"/>
  <c r="E15" i="65"/>
  <c r="E35" i="65"/>
  <c r="K15" i="65"/>
  <c r="D37" i="73" l="1"/>
  <c r="D18" i="73"/>
  <c r="G18" i="73"/>
  <c r="G37" i="73"/>
  <c r="J18" i="73"/>
  <c r="M16" i="73"/>
  <c r="H36" i="73"/>
  <c r="J36" i="73" s="1"/>
  <c r="K36" i="73" s="1"/>
  <c r="I35" i="69"/>
  <c r="I15" i="69"/>
  <c r="E15" i="69"/>
  <c r="Q15" i="69"/>
  <c r="E35" i="69"/>
  <c r="E34" i="65"/>
  <c r="E14" i="65"/>
  <c r="B14" i="65"/>
  <c r="K14" i="65"/>
  <c r="B34" i="65"/>
  <c r="G38" i="73" l="1"/>
  <c r="M17" i="73"/>
  <c r="H37" i="73"/>
  <c r="J37" i="73" s="1"/>
  <c r="K37" i="73" s="1"/>
  <c r="B20" i="73"/>
  <c r="D19" i="73"/>
  <c r="H20" i="73"/>
  <c r="J19" i="73"/>
  <c r="E20" i="73"/>
  <c r="G19" i="73"/>
  <c r="D38" i="73"/>
  <c r="I34" i="69"/>
  <c r="I14" i="69"/>
  <c r="E14" i="69"/>
  <c r="Q14" i="69"/>
  <c r="E34" i="69"/>
  <c r="E33" i="65"/>
  <c r="E13" i="65"/>
  <c r="B13" i="65"/>
  <c r="K13" i="65"/>
  <c r="B33" i="65"/>
  <c r="I33" i="69"/>
  <c r="I13" i="69"/>
  <c r="E13" i="69"/>
  <c r="Q13" i="69"/>
  <c r="E32" i="65"/>
  <c r="E12" i="65"/>
  <c r="B12" i="65"/>
  <c r="K12" i="65"/>
  <c r="B40" i="73" l="1"/>
  <c r="D39" i="73"/>
  <c r="M18" i="73"/>
  <c r="H38" i="73"/>
  <c r="J38" i="73" s="1"/>
  <c r="K38" i="73" s="1"/>
  <c r="G39" i="73"/>
  <c r="E40" i="73"/>
  <c r="I32" i="69"/>
  <c r="I12" i="69"/>
  <c r="E12" i="69"/>
  <c r="Q12" i="69"/>
  <c r="E32" i="69"/>
  <c r="I31" i="69"/>
  <c r="I11" i="69"/>
  <c r="E11" i="69"/>
  <c r="Q11" i="69"/>
  <c r="M11" i="69"/>
  <c r="E31" i="69"/>
  <c r="E31" i="65"/>
  <c r="E11" i="65"/>
  <c r="B11" i="65"/>
  <c r="K11" i="65"/>
  <c r="B31" i="65"/>
  <c r="E30" i="65"/>
  <c r="E10" i="65"/>
  <c r="B10" i="65"/>
  <c r="K10" i="65"/>
  <c r="H10" i="65"/>
  <c r="B30" i="65"/>
  <c r="M19" i="73" l="1"/>
  <c r="K20" i="73"/>
  <c r="H40" i="73" s="1"/>
  <c r="H39" i="73"/>
  <c r="J39" i="73" s="1"/>
  <c r="K39" i="73" s="1"/>
  <c r="I30" i="69"/>
  <c r="I10" i="69"/>
  <c r="E10" i="69"/>
  <c r="Q10" i="69"/>
  <c r="M10" i="69"/>
  <c r="E30" i="69"/>
  <c r="E29" i="65" l="1"/>
  <c r="E9" i="65"/>
  <c r="B9" i="65"/>
  <c r="K9" i="65"/>
  <c r="H9" i="65"/>
  <c r="B29" i="65"/>
  <c r="H17" i="22" l="1"/>
  <c r="G41" i="69" l="1"/>
  <c r="C41" i="69"/>
  <c r="M40" i="69"/>
  <c r="K40" i="69"/>
  <c r="H40" i="69"/>
  <c r="F40" i="69"/>
  <c r="D40" i="69"/>
  <c r="B40" i="69"/>
  <c r="M39" i="69"/>
  <c r="K39" i="69"/>
  <c r="H39" i="69"/>
  <c r="F39" i="69"/>
  <c r="D39" i="69"/>
  <c r="B39" i="69"/>
  <c r="M38" i="69"/>
  <c r="K38" i="69"/>
  <c r="H38" i="69"/>
  <c r="F38" i="69"/>
  <c r="D38" i="69"/>
  <c r="B38" i="69"/>
  <c r="M37" i="69"/>
  <c r="K37" i="69"/>
  <c r="H37" i="69"/>
  <c r="F37" i="69"/>
  <c r="D37" i="69"/>
  <c r="B37" i="69"/>
  <c r="M36" i="69"/>
  <c r="K36" i="69"/>
  <c r="H36" i="69"/>
  <c r="F36" i="69"/>
  <c r="M35" i="69"/>
  <c r="K35" i="69"/>
  <c r="H35" i="69"/>
  <c r="F35" i="69"/>
  <c r="D35" i="69"/>
  <c r="B35" i="69"/>
  <c r="M34" i="69"/>
  <c r="K34" i="69"/>
  <c r="H34" i="69"/>
  <c r="F34" i="69"/>
  <c r="D34" i="69"/>
  <c r="B34" i="69"/>
  <c r="M33" i="69"/>
  <c r="K33" i="69"/>
  <c r="H33" i="69"/>
  <c r="F33" i="69"/>
  <c r="D33" i="69"/>
  <c r="B33" i="69"/>
  <c r="M32" i="69"/>
  <c r="K32" i="69"/>
  <c r="H32" i="69"/>
  <c r="F32" i="69"/>
  <c r="D32" i="69"/>
  <c r="B32" i="69"/>
  <c r="M31" i="69"/>
  <c r="K31" i="69"/>
  <c r="H31" i="69"/>
  <c r="F31" i="69"/>
  <c r="D31" i="69"/>
  <c r="B31" i="69"/>
  <c r="M30" i="69"/>
  <c r="K30" i="69"/>
  <c r="H30" i="69"/>
  <c r="F30" i="69"/>
  <c r="D30" i="69"/>
  <c r="B30" i="69"/>
  <c r="K29" i="69"/>
  <c r="I29" i="69"/>
  <c r="I41" i="69" s="1"/>
  <c r="H29" i="69"/>
  <c r="F29" i="69"/>
  <c r="E29" i="69"/>
  <c r="E41" i="69" s="1"/>
  <c r="D29" i="69"/>
  <c r="D41" i="69" s="1"/>
  <c r="B29" i="69"/>
  <c r="O21" i="69"/>
  <c r="K21" i="69"/>
  <c r="G21" i="69"/>
  <c r="C21" i="69"/>
  <c r="P20" i="69"/>
  <c r="N20" i="69"/>
  <c r="L20" i="69"/>
  <c r="J20" i="69"/>
  <c r="H20" i="69"/>
  <c r="F20" i="69"/>
  <c r="D20" i="69"/>
  <c r="B20" i="69"/>
  <c r="P19" i="69"/>
  <c r="N19" i="69"/>
  <c r="L19" i="69"/>
  <c r="J19" i="69"/>
  <c r="H19" i="69"/>
  <c r="F19" i="69"/>
  <c r="D19" i="69"/>
  <c r="B19" i="69"/>
  <c r="P18" i="69"/>
  <c r="N18" i="69"/>
  <c r="L18" i="69"/>
  <c r="J18" i="69"/>
  <c r="H18" i="69"/>
  <c r="F18" i="69"/>
  <c r="D18" i="69"/>
  <c r="B18" i="69"/>
  <c r="P17" i="69"/>
  <c r="N17" i="69"/>
  <c r="L17" i="69"/>
  <c r="J17" i="69"/>
  <c r="H17" i="69"/>
  <c r="F17" i="69"/>
  <c r="D17" i="69"/>
  <c r="B17" i="69"/>
  <c r="P16" i="69"/>
  <c r="N16" i="69"/>
  <c r="H16" i="69"/>
  <c r="L36" i="69" s="1"/>
  <c r="F16" i="69"/>
  <c r="J36" i="69" s="1"/>
  <c r="D16" i="69"/>
  <c r="B16" i="69"/>
  <c r="P15" i="69"/>
  <c r="N15" i="69"/>
  <c r="L15" i="69"/>
  <c r="J15" i="69"/>
  <c r="H15" i="69"/>
  <c r="F15" i="69"/>
  <c r="D15" i="69"/>
  <c r="L35" i="69" s="1"/>
  <c r="B15" i="69"/>
  <c r="P14" i="69"/>
  <c r="N14" i="69"/>
  <c r="H14" i="69"/>
  <c r="F14" i="69"/>
  <c r="D14" i="69"/>
  <c r="L34" i="69" s="1"/>
  <c r="B14" i="69"/>
  <c r="J34" i="69" s="1"/>
  <c r="P13" i="69"/>
  <c r="N13" i="69"/>
  <c r="H13" i="69"/>
  <c r="F13" i="69"/>
  <c r="D13" i="69"/>
  <c r="L33" i="69" s="1"/>
  <c r="B13" i="69"/>
  <c r="P12" i="69"/>
  <c r="N12" i="69"/>
  <c r="N21" i="69" s="1"/>
  <c r="H12" i="69"/>
  <c r="F12" i="69"/>
  <c r="D12" i="69"/>
  <c r="L32" i="69" s="1"/>
  <c r="B12" i="69"/>
  <c r="P11" i="69"/>
  <c r="N11" i="69"/>
  <c r="L11" i="69"/>
  <c r="L31" i="69" s="1"/>
  <c r="J11" i="69"/>
  <c r="H11" i="69"/>
  <c r="F11" i="69"/>
  <c r="D11" i="69"/>
  <c r="B11" i="69"/>
  <c r="P10" i="69"/>
  <c r="N10" i="69"/>
  <c r="L10" i="69"/>
  <c r="L21" i="69" s="1"/>
  <c r="J10" i="69"/>
  <c r="J21" i="69" s="1"/>
  <c r="H10" i="69"/>
  <c r="F10" i="69"/>
  <c r="D10" i="69"/>
  <c r="L30" i="69" s="1"/>
  <c r="B10" i="69"/>
  <c r="Q9" i="69"/>
  <c r="Q21" i="69" s="1"/>
  <c r="P9" i="69"/>
  <c r="N9" i="69"/>
  <c r="M9" i="69"/>
  <c r="M21" i="69" s="1"/>
  <c r="L9" i="69"/>
  <c r="J9" i="69"/>
  <c r="I9" i="69"/>
  <c r="I21" i="69" s="1"/>
  <c r="H9" i="69"/>
  <c r="F9" i="69"/>
  <c r="E9" i="69"/>
  <c r="E21" i="69" s="1"/>
  <c r="D9" i="69"/>
  <c r="D21" i="69" s="1"/>
  <c r="B9" i="69"/>
  <c r="J29" i="69" s="1"/>
  <c r="J30" i="69" l="1"/>
  <c r="J41" i="69" s="1"/>
  <c r="J32" i="69"/>
  <c r="J39" i="69"/>
  <c r="B41" i="69"/>
  <c r="F41" i="69"/>
  <c r="P21" i="69"/>
  <c r="J33" i="69"/>
  <c r="K41" i="69"/>
  <c r="H41" i="69"/>
  <c r="F21" i="69"/>
  <c r="J38" i="69"/>
  <c r="J40" i="69"/>
  <c r="L37" i="69"/>
  <c r="L38" i="69"/>
  <c r="L39" i="69"/>
  <c r="L40" i="69"/>
  <c r="H21" i="69"/>
  <c r="J31" i="69"/>
  <c r="J37" i="69"/>
  <c r="J35" i="69"/>
  <c r="M41" i="69"/>
  <c r="B21" i="69"/>
  <c r="L29" i="69"/>
  <c r="L41" i="69" s="1"/>
  <c r="M29" i="69"/>
  <c r="E28" i="67" l="1"/>
  <c r="E29" i="67" s="1"/>
  <c r="E30" i="67" s="1"/>
  <c r="E31" i="67" s="1"/>
  <c r="E32" i="67" s="1"/>
  <c r="E33" i="67" s="1"/>
  <c r="E34" i="67" s="1"/>
  <c r="E35" i="67" s="1"/>
  <c r="E36" i="67" s="1"/>
  <c r="E37" i="67" s="1"/>
  <c r="E38" i="67" s="1"/>
  <c r="E39" i="67" s="1"/>
  <c r="E8" i="67"/>
  <c r="E9" i="67" s="1"/>
  <c r="E10" i="67" s="1"/>
  <c r="E11" i="67" s="1"/>
  <c r="E12" i="67" s="1"/>
  <c r="E13" i="67" s="1"/>
  <c r="E14" i="67" s="1"/>
  <c r="E15" i="67" s="1"/>
  <c r="E16" i="67" s="1"/>
  <c r="E17" i="67" s="1"/>
  <c r="E18" i="67" s="1"/>
  <c r="E19" i="67" s="1"/>
  <c r="B8" i="67"/>
  <c r="B9" i="67" s="1"/>
  <c r="B10" i="67" s="1"/>
  <c r="B11" i="67" s="1"/>
  <c r="B12" i="67" s="1"/>
  <c r="B13" i="67" s="1"/>
  <c r="B14" i="67" s="1"/>
  <c r="B15" i="67" s="1"/>
  <c r="B16" i="67" s="1"/>
  <c r="B17" i="67" s="1"/>
  <c r="B18" i="67" s="1"/>
  <c r="B19" i="67" s="1"/>
  <c r="K8" i="67"/>
  <c r="K9" i="67" s="1"/>
  <c r="K10" i="67" s="1"/>
  <c r="K11" i="67" s="1"/>
  <c r="K12" i="67" s="1"/>
  <c r="K13" i="67" s="1"/>
  <c r="K14" i="67" s="1"/>
  <c r="K15" i="67" s="1"/>
  <c r="K16" i="67" s="1"/>
  <c r="K17" i="67" s="1"/>
  <c r="K18" i="67" s="1"/>
  <c r="K19" i="67" s="1"/>
  <c r="H8" i="67"/>
  <c r="H9" i="67" s="1"/>
  <c r="H10" i="67" s="1"/>
  <c r="B28" i="67"/>
  <c r="B29" i="67" s="1"/>
  <c r="B30" i="67" s="1"/>
  <c r="B31" i="67" s="1"/>
  <c r="B32" i="67"/>
  <c r="B33" i="67" s="1"/>
  <c r="B34" i="67" s="1"/>
  <c r="H11" i="67"/>
  <c r="H12" i="67" s="1"/>
  <c r="H13" i="67" s="1"/>
  <c r="H14" i="67" s="1"/>
  <c r="H15" i="67" s="1"/>
  <c r="H16" i="67" s="1"/>
  <c r="H17" i="67" s="1"/>
  <c r="H18" i="67" s="1"/>
  <c r="H19" i="67" s="1"/>
  <c r="I40" i="67"/>
  <c r="I28" i="67" s="1"/>
  <c r="I36" i="67" s="1"/>
  <c r="F28" i="67"/>
  <c r="F36" i="67" s="1"/>
  <c r="C28" i="67"/>
  <c r="C39" i="67" s="1"/>
  <c r="L8" i="67"/>
  <c r="L19" i="67" s="1"/>
  <c r="I8" i="67"/>
  <c r="I19" i="67" s="1"/>
  <c r="F8" i="67"/>
  <c r="F17" i="67" s="1"/>
  <c r="C8" i="67"/>
  <c r="C19" i="67" s="1"/>
  <c r="F38" i="67" l="1"/>
  <c r="G28" i="67"/>
  <c r="F30" i="67"/>
  <c r="C32" i="67"/>
  <c r="C29" i="67"/>
  <c r="F34" i="67"/>
  <c r="C31" i="67"/>
  <c r="C30" i="67"/>
  <c r="I10" i="67"/>
  <c r="I16" i="67"/>
  <c r="I12" i="67"/>
  <c r="I13" i="67"/>
  <c r="J8" i="67"/>
  <c r="I18" i="67"/>
  <c r="I9" i="67"/>
  <c r="J9" i="67" s="1"/>
  <c r="I14" i="67"/>
  <c r="I30" i="67"/>
  <c r="I32" i="67"/>
  <c r="I31" i="67"/>
  <c r="H20" i="67"/>
  <c r="F10" i="67"/>
  <c r="G10" i="67" s="1"/>
  <c r="J11" i="67"/>
  <c r="C12" i="67"/>
  <c r="F14" i="67"/>
  <c r="C16" i="67"/>
  <c r="F18" i="67"/>
  <c r="H28" i="67"/>
  <c r="J28" i="67" s="1"/>
  <c r="K28" i="67" s="1"/>
  <c r="D8" i="67"/>
  <c r="G8" i="67"/>
  <c r="C9" i="67"/>
  <c r="D9" i="67" s="1"/>
  <c r="F11" i="67"/>
  <c r="J12" i="67"/>
  <c r="C13" i="67"/>
  <c r="F15" i="67"/>
  <c r="J16" i="67"/>
  <c r="C17" i="67"/>
  <c r="I17" i="67"/>
  <c r="F19" i="67"/>
  <c r="F39" i="67"/>
  <c r="F37" i="67"/>
  <c r="F35" i="67"/>
  <c r="F33" i="67"/>
  <c r="F31" i="67"/>
  <c r="F29" i="67"/>
  <c r="C35" i="67"/>
  <c r="C10" i="67"/>
  <c r="F12" i="67"/>
  <c r="C14" i="67"/>
  <c r="F16" i="67"/>
  <c r="C18" i="67"/>
  <c r="D28" i="67"/>
  <c r="M8" i="67"/>
  <c r="F9" i="67"/>
  <c r="G9" i="67" s="1"/>
  <c r="J10" i="67"/>
  <c r="C11" i="67"/>
  <c r="I11" i="67"/>
  <c r="F13" i="67"/>
  <c r="C15" i="67"/>
  <c r="I15" i="67"/>
  <c r="J15" i="67" s="1"/>
  <c r="J18" i="67"/>
  <c r="C38" i="67"/>
  <c r="C36" i="67"/>
  <c r="C34" i="67"/>
  <c r="I39" i="67"/>
  <c r="I37" i="67"/>
  <c r="I35" i="67"/>
  <c r="I33" i="67"/>
  <c r="I29" i="67"/>
  <c r="F32" i="67"/>
  <c r="C33" i="67"/>
  <c r="I34" i="67"/>
  <c r="C37" i="67"/>
  <c r="I38" i="67"/>
  <c r="L9" i="67"/>
  <c r="M9" i="67" s="1"/>
  <c r="L10" i="67"/>
  <c r="L11" i="67"/>
  <c r="L12" i="67"/>
  <c r="L13" i="67"/>
  <c r="L14" i="67"/>
  <c r="L15" i="67"/>
  <c r="L16" i="67"/>
  <c r="L17" i="67"/>
  <c r="L18" i="67"/>
  <c r="E28" i="65"/>
  <c r="E8" i="65"/>
  <c r="E20" i="65" s="1"/>
  <c r="B8" i="65"/>
  <c r="B20" i="65" s="1"/>
  <c r="K8" i="65"/>
  <c r="H8" i="65"/>
  <c r="B28" i="65"/>
  <c r="I40" i="65"/>
  <c r="I28" i="65" s="1"/>
  <c r="I38" i="65" s="1"/>
  <c r="F28" i="65"/>
  <c r="F34" i="65" s="1"/>
  <c r="C28" i="65"/>
  <c r="H38" i="65"/>
  <c r="H36" i="65"/>
  <c r="H34" i="65"/>
  <c r="H33" i="65"/>
  <c r="H31" i="65"/>
  <c r="H30" i="65"/>
  <c r="L8" i="65"/>
  <c r="L12" i="65" s="1"/>
  <c r="I8" i="65"/>
  <c r="I14" i="65" s="1"/>
  <c r="F8" i="65"/>
  <c r="F19" i="65" s="1"/>
  <c r="G19" i="65" s="1"/>
  <c r="C8" i="65"/>
  <c r="C18" i="65" s="1"/>
  <c r="F14" i="65" l="1"/>
  <c r="J14" i="67"/>
  <c r="J13" i="67"/>
  <c r="J17" i="67"/>
  <c r="J19" i="67"/>
  <c r="G11" i="67"/>
  <c r="D29" i="67"/>
  <c r="D10" i="67"/>
  <c r="G29" i="67"/>
  <c r="H29" i="67"/>
  <c r="J29" i="67" s="1"/>
  <c r="K29" i="67" s="1"/>
  <c r="M10" i="67"/>
  <c r="J14" i="65"/>
  <c r="F31" i="65"/>
  <c r="F37" i="65"/>
  <c r="G28" i="65"/>
  <c r="F33" i="65"/>
  <c r="G33" i="65" s="1"/>
  <c r="F38" i="65"/>
  <c r="G38" i="65" s="1"/>
  <c r="F35" i="65"/>
  <c r="F39" i="65"/>
  <c r="F29" i="65"/>
  <c r="G29" i="65" s="1"/>
  <c r="F36" i="65"/>
  <c r="G36" i="65" s="1"/>
  <c r="L11" i="65"/>
  <c r="M11" i="65" s="1"/>
  <c r="I11" i="65"/>
  <c r="I12" i="65"/>
  <c r="J12" i="65" s="1"/>
  <c r="I33" i="65"/>
  <c r="F12" i="65"/>
  <c r="G12" i="65" s="1"/>
  <c r="F13" i="65"/>
  <c r="G13" i="65" s="1"/>
  <c r="F15" i="65"/>
  <c r="G15" i="65" s="1"/>
  <c r="I29" i="65"/>
  <c r="G8" i="65"/>
  <c r="C16" i="65"/>
  <c r="D16" i="65" s="1"/>
  <c r="C10" i="65"/>
  <c r="D10" i="65" s="1"/>
  <c r="I31" i="65"/>
  <c r="M8" i="65"/>
  <c r="K20" i="65"/>
  <c r="C12" i="65"/>
  <c r="D12" i="65" s="1"/>
  <c r="C13" i="65"/>
  <c r="D13" i="65" s="1"/>
  <c r="D8" i="65"/>
  <c r="C15" i="65"/>
  <c r="C14" i="65"/>
  <c r="D14" i="65" s="1"/>
  <c r="H29" i="65"/>
  <c r="C17" i="65"/>
  <c r="D17" i="65" s="1"/>
  <c r="C19" i="65"/>
  <c r="D19" i="65" s="1"/>
  <c r="G39" i="65"/>
  <c r="G34" i="65"/>
  <c r="D15" i="65"/>
  <c r="C39" i="65"/>
  <c r="D39" i="65" s="1"/>
  <c r="C37" i="65"/>
  <c r="D37" i="65" s="1"/>
  <c r="C35" i="65"/>
  <c r="D35" i="65" s="1"/>
  <c r="C38" i="65"/>
  <c r="D38" i="65" s="1"/>
  <c r="C36" i="65"/>
  <c r="D36" i="65" s="1"/>
  <c r="C34" i="65"/>
  <c r="D34" i="65" s="1"/>
  <c r="C32" i="65"/>
  <c r="D32" i="65" s="1"/>
  <c r="C33" i="65"/>
  <c r="D33" i="65" s="1"/>
  <c r="C31" i="65"/>
  <c r="D31" i="65" s="1"/>
  <c r="C29" i="65"/>
  <c r="D29" i="65" s="1"/>
  <c r="D28" i="65"/>
  <c r="C30" i="65"/>
  <c r="C9" i="65"/>
  <c r="D9" i="65" s="1"/>
  <c r="C11" i="65"/>
  <c r="D11" i="65" s="1"/>
  <c r="M12" i="65"/>
  <c r="H35" i="65"/>
  <c r="H37" i="65"/>
  <c r="H39" i="65"/>
  <c r="D18" i="65"/>
  <c r="H20" i="65"/>
  <c r="H32" i="65"/>
  <c r="I9" i="65"/>
  <c r="J9" i="65" s="1"/>
  <c r="L13" i="65"/>
  <c r="M13" i="65" s="1"/>
  <c r="L14" i="65"/>
  <c r="M14" i="65" s="1"/>
  <c r="I16" i="65"/>
  <c r="J16" i="65" s="1"/>
  <c r="I19" i="65"/>
  <c r="J19" i="65" s="1"/>
  <c r="I30" i="65"/>
  <c r="G31" i="65"/>
  <c r="I32" i="65"/>
  <c r="I34" i="65"/>
  <c r="B40" i="65"/>
  <c r="L9" i="65"/>
  <c r="M9" i="65" s="1"/>
  <c r="L10" i="65"/>
  <c r="M10" i="65" s="1"/>
  <c r="G14" i="65"/>
  <c r="L15" i="65"/>
  <c r="M15" i="65" s="1"/>
  <c r="L16" i="65"/>
  <c r="M16" i="65" s="1"/>
  <c r="L17" i="65"/>
  <c r="M17" i="65" s="1"/>
  <c r="L18" i="65"/>
  <c r="M18" i="65" s="1"/>
  <c r="L19" i="65"/>
  <c r="M19" i="65" s="1"/>
  <c r="H28" i="65"/>
  <c r="D30" i="65"/>
  <c r="I10" i="65"/>
  <c r="J10" i="65" s="1"/>
  <c r="J11" i="65"/>
  <c r="I15" i="65"/>
  <c r="I17" i="65"/>
  <c r="I18" i="65"/>
  <c r="J18" i="65" s="1"/>
  <c r="J8" i="65"/>
  <c r="F9" i="65"/>
  <c r="G9" i="65" s="1"/>
  <c r="F10" i="65"/>
  <c r="G10" i="65" s="1"/>
  <c r="F11" i="65"/>
  <c r="G11" i="65" s="1"/>
  <c r="I13" i="65"/>
  <c r="J13" i="65" s="1"/>
  <c r="J15" i="65"/>
  <c r="F16" i="65"/>
  <c r="G16" i="65" s="1"/>
  <c r="F17" i="65"/>
  <c r="G17" i="65" s="1"/>
  <c r="J17" i="65"/>
  <c r="F18" i="65"/>
  <c r="G18" i="65" s="1"/>
  <c r="F30" i="65"/>
  <c r="G30" i="65" s="1"/>
  <c r="F32" i="65"/>
  <c r="G32" i="65" s="1"/>
  <c r="I35" i="65"/>
  <c r="I37" i="65"/>
  <c r="I39" i="65"/>
  <c r="E40" i="65"/>
  <c r="G35" i="65"/>
  <c r="I36" i="65"/>
  <c r="G37" i="65"/>
  <c r="G12" i="67" l="1"/>
  <c r="H31" i="67"/>
  <c r="J31" i="67" s="1"/>
  <c r="K31" i="67" s="1"/>
  <c r="G30" i="67"/>
  <c r="D30" i="67"/>
  <c r="M11" i="67"/>
  <c r="D11" i="67"/>
  <c r="H30" i="67"/>
  <c r="J30" i="67" s="1"/>
  <c r="K30" i="67" s="1"/>
  <c r="H40" i="65"/>
  <c r="J34" i="65"/>
  <c r="K34" i="65" s="1"/>
  <c r="J32" i="65"/>
  <c r="K32" i="65" s="1"/>
  <c r="J30" i="65"/>
  <c r="K30" i="65" s="1"/>
  <c r="J28" i="65"/>
  <c r="K28" i="65" s="1"/>
  <c r="J31" i="65"/>
  <c r="K31" i="65" s="1"/>
  <c r="J39" i="65"/>
  <c r="K39" i="65" s="1"/>
  <c r="J35" i="65"/>
  <c r="K35" i="65" s="1"/>
  <c r="J38" i="65"/>
  <c r="K38" i="65" s="1"/>
  <c r="J36" i="65"/>
  <c r="K36" i="65" s="1"/>
  <c r="J33" i="65"/>
  <c r="K33" i="65" s="1"/>
  <c r="J29" i="65"/>
  <c r="K29" i="65" s="1"/>
  <c r="J37" i="65"/>
  <c r="K37" i="65" s="1"/>
  <c r="M12" i="67" l="1"/>
  <c r="G31" i="67"/>
  <c r="D12" i="67"/>
  <c r="G13" i="67"/>
  <c r="D31" i="67"/>
  <c r="E39" i="47"/>
  <c r="E19" i="47"/>
  <c r="B19" i="47"/>
  <c r="K19" i="47"/>
  <c r="H19" i="47"/>
  <c r="B39" i="47"/>
  <c r="G32" i="67" l="1"/>
  <c r="G14" i="67"/>
  <c r="H33" i="67"/>
  <c r="J33" i="67" s="1"/>
  <c r="K33" i="67" s="1"/>
  <c r="D32" i="67"/>
  <c r="D13" i="67"/>
  <c r="H32" i="67"/>
  <c r="J32" i="67" s="1"/>
  <c r="K32" i="67" s="1"/>
  <c r="M13" i="67"/>
  <c r="G15" i="67" l="1"/>
  <c r="M14" i="67"/>
  <c r="D14" i="67"/>
  <c r="D33" i="67"/>
  <c r="G33" i="67"/>
  <c r="E38" i="47"/>
  <c r="E18" i="47"/>
  <c r="B18" i="47"/>
  <c r="K18" i="47"/>
  <c r="H18" i="47"/>
  <c r="D15" i="67" l="1"/>
  <c r="G34" i="67"/>
  <c r="G16" i="67"/>
  <c r="B35" i="67"/>
  <c r="D34" i="67"/>
  <c r="M15" i="67"/>
  <c r="H34" i="67"/>
  <c r="J34" i="67" s="1"/>
  <c r="K34" i="67" s="1"/>
  <c r="B38" i="47"/>
  <c r="E37" i="47"/>
  <c r="E17" i="47"/>
  <c r="B17" i="47"/>
  <c r="K17" i="47"/>
  <c r="H17" i="47"/>
  <c r="B37" i="47"/>
  <c r="B36" i="67" l="1"/>
  <c r="B37" i="67" s="1"/>
  <c r="B38" i="67" s="1"/>
  <c r="B39" i="67" s="1"/>
  <c r="B40" i="67" s="1"/>
  <c r="G35" i="67"/>
  <c r="G17" i="67"/>
  <c r="D16" i="67"/>
  <c r="D35" i="67"/>
  <c r="H35" i="67"/>
  <c r="J35" i="67" s="1"/>
  <c r="K35" i="67" s="1"/>
  <c r="M16" i="67"/>
  <c r="E16" i="47"/>
  <c r="B16" i="47"/>
  <c r="K16" i="47"/>
  <c r="H16" i="47"/>
  <c r="B36" i="47"/>
  <c r="D36" i="67" l="1"/>
  <c r="M17" i="67"/>
  <c r="D17" i="67"/>
  <c r="G18" i="67"/>
  <c r="H36" i="67"/>
  <c r="J36" i="67" s="1"/>
  <c r="K36" i="67" s="1"/>
  <c r="G36" i="67"/>
  <c r="G37" i="67" l="1"/>
  <c r="D18" i="67"/>
  <c r="M18" i="67"/>
  <c r="H37" i="67"/>
  <c r="J37" i="67" s="1"/>
  <c r="K37" i="67" s="1"/>
  <c r="G19" i="67"/>
  <c r="E20" i="67"/>
  <c r="D37" i="67"/>
  <c r="E36" i="47"/>
  <c r="E35" i="47"/>
  <c r="E15" i="47"/>
  <c r="B15" i="47"/>
  <c r="K15" i="47"/>
  <c r="D38" i="67" l="1"/>
  <c r="H38" i="67"/>
  <c r="J38" i="67" s="1"/>
  <c r="K38" i="67" s="1"/>
  <c r="M19" i="67"/>
  <c r="K20" i="67"/>
  <c r="D19" i="67"/>
  <c r="B20" i="67"/>
  <c r="H39" i="67"/>
  <c r="J39" i="67" s="1"/>
  <c r="K39" i="67" s="1"/>
  <c r="G38" i="67"/>
  <c r="E34" i="47"/>
  <c r="E14" i="47"/>
  <c r="B14" i="47"/>
  <c r="K14" i="47"/>
  <c r="H14" i="47"/>
  <c r="B34" i="47"/>
  <c r="E40" i="67" l="1"/>
  <c r="H40" i="67" s="1"/>
  <c r="G39" i="67"/>
  <c r="D39" i="67"/>
  <c r="E33" i="47"/>
  <c r="E13" i="47"/>
  <c r="B13" i="47"/>
  <c r="K13" i="47"/>
  <c r="B33" i="47"/>
  <c r="E32" i="47" l="1"/>
  <c r="E12" i="47"/>
  <c r="B12" i="47"/>
  <c r="K12" i="47"/>
  <c r="B32" i="47"/>
  <c r="E31" i="47" l="1"/>
  <c r="E11" i="47"/>
  <c r="B11" i="47"/>
  <c r="K11" i="47"/>
  <c r="B31" i="47"/>
  <c r="E30" i="47" l="1"/>
  <c r="B30" i="47"/>
  <c r="K10" i="47"/>
  <c r="H10" i="47"/>
  <c r="E10" i="47"/>
  <c r="B10" i="47"/>
  <c r="E29" i="47" l="1"/>
  <c r="B29" i="47"/>
  <c r="K9" i="47"/>
  <c r="H9" i="47"/>
  <c r="E9" i="47"/>
  <c r="B9" i="47"/>
  <c r="E28" i="49" l="1"/>
  <c r="E29" i="49" s="1"/>
  <c r="E30" i="49" s="1"/>
  <c r="E31" i="49" s="1"/>
  <c r="E32" i="49" s="1"/>
  <c r="E33" i="49" s="1"/>
  <c r="E34" i="49" s="1"/>
  <c r="E35" i="49" s="1"/>
  <c r="E36" i="49" s="1"/>
  <c r="E37" i="49" s="1"/>
  <c r="E38" i="49" s="1"/>
  <c r="E39" i="49" s="1"/>
  <c r="E8" i="49"/>
  <c r="E9" i="49" s="1"/>
  <c r="E10" i="49" s="1"/>
  <c r="E11" i="49" s="1"/>
  <c r="E12" i="49" s="1"/>
  <c r="E13" i="49" s="1"/>
  <c r="E14" i="49" s="1"/>
  <c r="E15" i="49" s="1"/>
  <c r="E16" i="49" s="1"/>
  <c r="E17" i="49" s="1"/>
  <c r="E18" i="49" s="1"/>
  <c r="E19" i="49" s="1"/>
  <c r="B8" i="49"/>
  <c r="B9" i="49" s="1"/>
  <c r="B10" i="49" s="1"/>
  <c r="B11" i="49" s="1"/>
  <c r="B12" i="49" s="1"/>
  <c r="B13" i="49" s="1"/>
  <c r="B14" i="49" s="1"/>
  <c r="B15" i="49" s="1"/>
  <c r="B16" i="49" s="1"/>
  <c r="B17" i="49" s="1"/>
  <c r="B18" i="49" s="1"/>
  <c r="B19" i="49" s="1"/>
  <c r="K8" i="49"/>
  <c r="H8" i="49"/>
  <c r="B28" i="49"/>
  <c r="I40" i="49"/>
  <c r="I28" i="49" s="1"/>
  <c r="I38" i="49" s="1"/>
  <c r="F28" i="49"/>
  <c r="F29" i="49" s="1"/>
  <c r="C28" i="49"/>
  <c r="C39" i="49" s="1"/>
  <c r="F12" i="49"/>
  <c r="L8" i="49"/>
  <c r="L18" i="49" s="1"/>
  <c r="I8" i="49"/>
  <c r="I19" i="49" s="1"/>
  <c r="F8" i="49"/>
  <c r="F19" i="49" s="1"/>
  <c r="C8" i="49"/>
  <c r="C19" i="49" s="1"/>
  <c r="B8" i="47"/>
  <c r="E8" i="47"/>
  <c r="E28" i="47"/>
  <c r="K8" i="47"/>
  <c r="H8" i="47"/>
  <c r="B28" i="47"/>
  <c r="K9" i="49" l="1"/>
  <c r="K10" i="49" s="1"/>
  <c r="K11" i="49" s="1"/>
  <c r="K12" i="49" s="1"/>
  <c r="K13" i="49" s="1"/>
  <c r="K14" i="49" s="1"/>
  <c r="K15" i="49" s="1"/>
  <c r="K16" i="49" s="1"/>
  <c r="K17" i="49" s="1"/>
  <c r="K18" i="49" s="1"/>
  <c r="K19" i="49" s="1"/>
  <c r="K20" i="49" s="1"/>
  <c r="F16" i="49"/>
  <c r="B29" i="49"/>
  <c r="B30" i="49" s="1"/>
  <c r="B31" i="49" s="1"/>
  <c r="B32" i="49" s="1"/>
  <c r="B33" i="49" s="1"/>
  <c r="B34" i="49" s="1"/>
  <c r="B35" i="49" s="1"/>
  <c r="B36" i="49" s="1"/>
  <c r="B37" i="49" s="1"/>
  <c r="B38" i="49" s="1"/>
  <c r="B39" i="49" s="1"/>
  <c r="J8" i="49"/>
  <c r="H9" i="49"/>
  <c r="H10" i="49" s="1"/>
  <c r="L9" i="49"/>
  <c r="L17" i="49"/>
  <c r="F10" i="49"/>
  <c r="F14" i="49"/>
  <c r="F18" i="49"/>
  <c r="L13" i="49"/>
  <c r="M8" i="49"/>
  <c r="L11" i="49"/>
  <c r="L15" i="49"/>
  <c r="L19" i="49"/>
  <c r="C29" i="49"/>
  <c r="D28" i="49"/>
  <c r="D8" i="49"/>
  <c r="H28" i="49"/>
  <c r="J28" i="49" s="1"/>
  <c r="K28" i="49" s="1"/>
  <c r="F9" i="49"/>
  <c r="G9" i="49" s="1"/>
  <c r="F11" i="49"/>
  <c r="F13" i="49"/>
  <c r="F15" i="49"/>
  <c r="F17" i="49"/>
  <c r="L10" i="49"/>
  <c r="L12" i="49"/>
  <c r="L14" i="49"/>
  <c r="L16" i="49"/>
  <c r="G29" i="49"/>
  <c r="F39" i="49"/>
  <c r="F37" i="49"/>
  <c r="F35" i="49"/>
  <c r="F33" i="49"/>
  <c r="F38" i="49"/>
  <c r="F36" i="49"/>
  <c r="F34" i="49"/>
  <c r="F32" i="49"/>
  <c r="F30" i="49"/>
  <c r="F31" i="49"/>
  <c r="G8" i="49"/>
  <c r="C9" i="49"/>
  <c r="D9" i="49" s="1"/>
  <c r="C10" i="49"/>
  <c r="C11" i="49"/>
  <c r="C12" i="49"/>
  <c r="C13" i="49"/>
  <c r="C14" i="49"/>
  <c r="C15" i="49"/>
  <c r="C16" i="49"/>
  <c r="C17" i="49"/>
  <c r="C18" i="49"/>
  <c r="G28" i="49"/>
  <c r="I29" i="49"/>
  <c r="C30" i="49"/>
  <c r="I31" i="49"/>
  <c r="C32" i="49"/>
  <c r="I33" i="49"/>
  <c r="C34" i="49"/>
  <c r="I35" i="49"/>
  <c r="C36" i="49"/>
  <c r="I37" i="49"/>
  <c r="C38" i="49"/>
  <c r="I39" i="49"/>
  <c r="I9" i="49"/>
  <c r="I10" i="49"/>
  <c r="I11" i="49"/>
  <c r="I12" i="49"/>
  <c r="I13" i="49"/>
  <c r="I14" i="49"/>
  <c r="I15" i="49"/>
  <c r="I16" i="49"/>
  <c r="I17" i="49"/>
  <c r="I18" i="49"/>
  <c r="I30" i="49"/>
  <c r="C31" i="49"/>
  <c r="I32" i="49"/>
  <c r="C33" i="49"/>
  <c r="I34" i="49"/>
  <c r="C35" i="49"/>
  <c r="I36" i="49"/>
  <c r="C37" i="49"/>
  <c r="I40" i="47"/>
  <c r="I28" i="47" s="1"/>
  <c r="I38" i="47" s="1"/>
  <c r="B40" i="47"/>
  <c r="F28" i="47"/>
  <c r="F34" i="47" s="1"/>
  <c r="C28" i="47"/>
  <c r="C39" i="47" s="1"/>
  <c r="H39" i="47"/>
  <c r="H38" i="47"/>
  <c r="H37" i="47"/>
  <c r="H36" i="47"/>
  <c r="H34" i="47"/>
  <c r="H33" i="47"/>
  <c r="H32" i="47"/>
  <c r="H31" i="47"/>
  <c r="H30" i="47"/>
  <c r="H29" i="47"/>
  <c r="L8" i="47"/>
  <c r="L19" i="47" s="1"/>
  <c r="I8" i="47"/>
  <c r="H20" i="47"/>
  <c r="F8" i="47"/>
  <c r="F19" i="47" s="1"/>
  <c r="C8" i="47"/>
  <c r="C10" i="47" s="1"/>
  <c r="D10" i="47" s="1"/>
  <c r="J9" i="49" l="1"/>
  <c r="C11" i="47"/>
  <c r="D11" i="47" s="1"/>
  <c r="C9" i="47"/>
  <c r="D9" i="47" s="1"/>
  <c r="F31" i="47"/>
  <c r="F36" i="47"/>
  <c r="F29" i="47"/>
  <c r="G29" i="47" s="1"/>
  <c r="F39" i="47"/>
  <c r="G39" i="47" s="1"/>
  <c r="M9" i="49"/>
  <c r="D10" i="49"/>
  <c r="H30" i="49"/>
  <c r="J30" i="49" s="1"/>
  <c r="K30" i="49" s="1"/>
  <c r="D29" i="49"/>
  <c r="H29" i="49"/>
  <c r="J29" i="49" s="1"/>
  <c r="K29" i="49" s="1"/>
  <c r="G30" i="49"/>
  <c r="G10" i="49"/>
  <c r="H11" i="49"/>
  <c r="J10" i="49"/>
  <c r="F33" i="47"/>
  <c r="F37" i="47"/>
  <c r="G37" i="47" s="1"/>
  <c r="G28" i="47"/>
  <c r="F35" i="47"/>
  <c r="G35" i="47" s="1"/>
  <c r="F38" i="47"/>
  <c r="L13" i="47"/>
  <c r="M13" i="47" s="1"/>
  <c r="L11" i="47"/>
  <c r="M11" i="47" s="1"/>
  <c r="L14" i="47"/>
  <c r="F14" i="47"/>
  <c r="F13" i="47"/>
  <c r="F15" i="47"/>
  <c r="G15" i="47" s="1"/>
  <c r="F12" i="47"/>
  <c r="G12" i="47" s="1"/>
  <c r="I31" i="47"/>
  <c r="I29" i="47"/>
  <c r="I33" i="47"/>
  <c r="I11" i="47"/>
  <c r="J11" i="47" s="1"/>
  <c r="I14" i="47"/>
  <c r="J14" i="47" s="1"/>
  <c r="I13" i="47"/>
  <c r="J13" i="47" s="1"/>
  <c r="I19" i="47"/>
  <c r="J19" i="47" s="1"/>
  <c r="I18" i="47"/>
  <c r="J18" i="47" s="1"/>
  <c r="I17" i="47"/>
  <c r="I16" i="47"/>
  <c r="J16" i="47" s="1"/>
  <c r="I15" i="47"/>
  <c r="J15" i="47" s="1"/>
  <c r="M14" i="47"/>
  <c r="K20" i="47"/>
  <c r="M19" i="47"/>
  <c r="I9" i="47"/>
  <c r="I12" i="47"/>
  <c r="J12" i="47" s="1"/>
  <c r="H35" i="47"/>
  <c r="G14" i="47"/>
  <c r="E20" i="47"/>
  <c r="G19" i="47"/>
  <c r="G13" i="47"/>
  <c r="I10" i="47"/>
  <c r="H28" i="47"/>
  <c r="G8" i="47"/>
  <c r="C15" i="47"/>
  <c r="D15" i="47" s="1"/>
  <c r="C14" i="47"/>
  <c r="D14" i="47" s="1"/>
  <c r="D8" i="47"/>
  <c r="C19" i="47"/>
  <c r="C18" i="47"/>
  <c r="D18" i="47" s="1"/>
  <c r="C17" i="47"/>
  <c r="D17" i="47" s="1"/>
  <c r="C16" i="47"/>
  <c r="C12" i="47"/>
  <c r="D12" i="47" s="1"/>
  <c r="C13" i="47"/>
  <c r="D13" i="47" s="1"/>
  <c r="M8" i="47"/>
  <c r="C29" i="47"/>
  <c r="I30" i="47"/>
  <c r="C31" i="47"/>
  <c r="D31" i="47" s="1"/>
  <c r="G31" i="47"/>
  <c r="I32" i="47"/>
  <c r="C33" i="47"/>
  <c r="D33" i="47" s="1"/>
  <c r="G33" i="47"/>
  <c r="I34" i="47"/>
  <c r="D39" i="47"/>
  <c r="J8" i="47"/>
  <c r="F9" i="47"/>
  <c r="G9" i="47" s="1"/>
  <c r="J9" i="47"/>
  <c r="F10" i="47"/>
  <c r="G10" i="47" s="1"/>
  <c r="J10" i="47"/>
  <c r="F11" i="47"/>
  <c r="G11" i="47" s="1"/>
  <c r="L12" i="47"/>
  <c r="M12" i="47" s="1"/>
  <c r="F16" i="47"/>
  <c r="G16" i="47" s="1"/>
  <c r="F17" i="47"/>
  <c r="G17" i="47" s="1"/>
  <c r="J17" i="47"/>
  <c r="F18" i="47"/>
  <c r="G18" i="47" s="1"/>
  <c r="B20" i="47"/>
  <c r="D29" i="47"/>
  <c r="F30" i="47"/>
  <c r="G30" i="47" s="1"/>
  <c r="F32" i="47"/>
  <c r="G32" i="47" s="1"/>
  <c r="I35" i="47"/>
  <c r="C36" i="47"/>
  <c r="D36" i="47" s="1"/>
  <c r="G36" i="47"/>
  <c r="I37" i="47"/>
  <c r="C38" i="47"/>
  <c r="D38" i="47" s="1"/>
  <c r="G38" i="47"/>
  <c r="I39" i="47"/>
  <c r="E40" i="47"/>
  <c r="C30" i="47"/>
  <c r="D30" i="47" s="1"/>
  <c r="C32" i="47"/>
  <c r="D32" i="47" s="1"/>
  <c r="C34" i="47"/>
  <c r="D34" i="47" s="1"/>
  <c r="G34" i="47"/>
  <c r="L9" i="47"/>
  <c r="M9" i="47" s="1"/>
  <c r="L10" i="47"/>
  <c r="M10" i="47" s="1"/>
  <c r="L15" i="47"/>
  <c r="M15" i="47" s="1"/>
  <c r="D16" i="47"/>
  <c r="L16" i="47"/>
  <c r="M16" i="47" s="1"/>
  <c r="L17" i="47"/>
  <c r="M17" i="47" s="1"/>
  <c r="L18" i="47"/>
  <c r="M18" i="47" s="1"/>
  <c r="D19" i="47"/>
  <c r="D28" i="47"/>
  <c r="C35" i="47"/>
  <c r="D35" i="47" s="1"/>
  <c r="I36" i="47"/>
  <c r="C37" i="47"/>
  <c r="D37" i="47" s="1"/>
  <c r="E39" i="42"/>
  <c r="E19" i="42"/>
  <c r="B19" i="42"/>
  <c r="K19" i="42"/>
  <c r="H19" i="42"/>
  <c r="B39" i="42"/>
  <c r="G11" i="49" l="1"/>
  <c r="D30" i="49"/>
  <c r="M10" i="49"/>
  <c r="J11" i="49"/>
  <c r="H12" i="49"/>
  <c r="G31" i="49"/>
  <c r="D11" i="49"/>
  <c r="H40" i="47"/>
  <c r="J33" i="47"/>
  <c r="K33" i="47" s="1"/>
  <c r="J31" i="47"/>
  <c r="K31" i="47" s="1"/>
  <c r="J29" i="47"/>
  <c r="K29" i="47" s="1"/>
  <c r="J39" i="47"/>
  <c r="K39" i="47" s="1"/>
  <c r="J37" i="47"/>
  <c r="K37" i="47" s="1"/>
  <c r="J35" i="47"/>
  <c r="K35" i="47" s="1"/>
  <c r="J34" i="47"/>
  <c r="K34" i="47" s="1"/>
  <c r="J32" i="47"/>
  <c r="K32" i="47" s="1"/>
  <c r="J30" i="47"/>
  <c r="K30" i="47" s="1"/>
  <c r="J28" i="47"/>
  <c r="K28" i="47" s="1"/>
  <c r="J38" i="47"/>
  <c r="K38" i="47" s="1"/>
  <c r="J36" i="47"/>
  <c r="K36" i="47" s="1"/>
  <c r="E38" i="42"/>
  <c r="E18" i="42"/>
  <c r="B18" i="42"/>
  <c r="K18" i="42"/>
  <c r="H18" i="42"/>
  <c r="B38" i="42"/>
  <c r="M11" i="49" l="1"/>
  <c r="G32" i="49"/>
  <c r="G12" i="49"/>
  <c r="D12" i="49"/>
  <c r="H13" i="49"/>
  <c r="H14" i="49" s="1"/>
  <c r="J12" i="49"/>
  <c r="H31" i="49"/>
  <c r="J31" i="49" s="1"/>
  <c r="K31" i="49" s="1"/>
  <c r="D31" i="49"/>
  <c r="E37" i="42"/>
  <c r="E17" i="42"/>
  <c r="B17" i="42"/>
  <c r="K17" i="42"/>
  <c r="H17" i="42"/>
  <c r="B37" i="42"/>
  <c r="E16" i="42"/>
  <c r="B16" i="42"/>
  <c r="K16" i="42"/>
  <c r="H16" i="42"/>
  <c r="B36" i="42"/>
  <c r="D32" i="49" l="1"/>
  <c r="J13" i="49"/>
  <c r="M12" i="49"/>
  <c r="G13" i="49"/>
  <c r="D13" i="49"/>
  <c r="H32" i="49"/>
  <c r="J32" i="49" s="1"/>
  <c r="K32" i="49" s="1"/>
  <c r="G33" i="49"/>
  <c r="E36" i="42"/>
  <c r="E35" i="42"/>
  <c r="E15" i="42"/>
  <c r="B15" i="42"/>
  <c r="K15" i="42"/>
  <c r="D14" i="49" l="1"/>
  <c r="H15" i="49"/>
  <c r="H16" i="49" s="1"/>
  <c r="H17" i="49" s="1"/>
  <c r="H18" i="49" s="1"/>
  <c r="H19" i="49" s="1"/>
  <c r="J14" i="49"/>
  <c r="M13" i="49"/>
  <c r="G14" i="49"/>
  <c r="G34" i="49"/>
  <c r="H33" i="49"/>
  <c r="J33" i="49" s="1"/>
  <c r="K33" i="49" s="1"/>
  <c r="D33" i="49"/>
  <c r="E34" i="42"/>
  <c r="E14" i="42"/>
  <c r="B14" i="42"/>
  <c r="K14" i="42"/>
  <c r="H14" i="42"/>
  <c r="B34" i="42"/>
  <c r="G35" i="49" l="1"/>
  <c r="D34" i="49"/>
  <c r="H34" i="49"/>
  <c r="J34" i="49" s="1"/>
  <c r="K34" i="49" s="1"/>
  <c r="G15" i="49"/>
  <c r="J15" i="49"/>
  <c r="M14" i="49"/>
  <c r="D15" i="49"/>
  <c r="E33" i="42"/>
  <c r="E13" i="42"/>
  <c r="B13" i="42"/>
  <c r="K13" i="42"/>
  <c r="B33" i="42"/>
  <c r="H35" i="49" l="1"/>
  <c r="J35" i="49" s="1"/>
  <c r="K35" i="49" s="1"/>
  <c r="G36" i="49"/>
  <c r="J16" i="49"/>
  <c r="M15" i="49"/>
  <c r="D35" i="49"/>
  <c r="D16" i="49"/>
  <c r="G16" i="49"/>
  <c r="E32" i="42"/>
  <c r="E12" i="42"/>
  <c r="B12" i="42"/>
  <c r="K12" i="42"/>
  <c r="B32" i="42"/>
  <c r="G17" i="49" l="1"/>
  <c r="D17" i="49"/>
  <c r="D36" i="49"/>
  <c r="J17" i="49"/>
  <c r="M16" i="49"/>
  <c r="H36" i="49"/>
  <c r="J36" i="49" s="1"/>
  <c r="K36" i="49" s="1"/>
  <c r="G37" i="49"/>
  <c r="E31" i="42"/>
  <c r="E11" i="42"/>
  <c r="B11" i="42"/>
  <c r="K11" i="42"/>
  <c r="B31" i="42"/>
  <c r="D37" i="49" l="1"/>
  <c r="G38" i="49"/>
  <c r="D18" i="49"/>
  <c r="G18" i="49"/>
  <c r="J18" i="49"/>
  <c r="M17" i="49"/>
  <c r="H37" i="49"/>
  <c r="J37" i="49" s="1"/>
  <c r="K37" i="49" s="1"/>
  <c r="E30" i="42"/>
  <c r="E10" i="42"/>
  <c r="B10" i="42"/>
  <c r="K10" i="42"/>
  <c r="H10" i="42"/>
  <c r="B30" i="42"/>
  <c r="J19" i="49" l="1"/>
  <c r="H20" i="49"/>
  <c r="M18" i="49"/>
  <c r="H38" i="49"/>
  <c r="J38" i="49" s="1"/>
  <c r="K38" i="49" s="1"/>
  <c r="H39" i="49"/>
  <c r="J39" i="49" s="1"/>
  <c r="K39" i="49" s="1"/>
  <c r="D38" i="49"/>
  <c r="E20" i="49"/>
  <c r="G19" i="49"/>
  <c r="D19" i="49"/>
  <c r="B20" i="49"/>
  <c r="G39" i="49"/>
  <c r="E40" i="49"/>
  <c r="K9" i="42"/>
  <c r="H9" i="42"/>
  <c r="B40" i="49" l="1"/>
  <c r="H40" i="49" s="1"/>
  <c r="D39" i="49"/>
  <c r="M19" i="49"/>
  <c r="E29" i="42"/>
  <c r="E9" i="42"/>
  <c r="B9" i="42"/>
  <c r="B29" i="42"/>
  <c r="I40" i="44" l="1"/>
  <c r="I28" i="44" s="1"/>
  <c r="I39" i="44" s="1"/>
  <c r="F29" i="44"/>
  <c r="F28" i="44"/>
  <c r="F38" i="44" s="1"/>
  <c r="E28" i="44"/>
  <c r="E29" i="44" s="1"/>
  <c r="E30" i="44" s="1"/>
  <c r="E31" i="44" s="1"/>
  <c r="E32" i="44" s="1"/>
  <c r="E33" i="44" s="1"/>
  <c r="E34" i="44" s="1"/>
  <c r="E35" i="44" s="1"/>
  <c r="E36" i="44" s="1"/>
  <c r="E37" i="44" s="1"/>
  <c r="E38" i="44" s="1"/>
  <c r="E39" i="44" s="1"/>
  <c r="D28" i="44"/>
  <c r="C28" i="44"/>
  <c r="C39" i="44" s="1"/>
  <c r="B28" i="44"/>
  <c r="B29" i="44" s="1"/>
  <c r="B30" i="44" s="1"/>
  <c r="B31" i="44" s="1"/>
  <c r="B32" i="44" s="1"/>
  <c r="B33" i="44" s="1"/>
  <c r="B34" i="44" s="1"/>
  <c r="L8" i="44"/>
  <c r="K8" i="44"/>
  <c r="K9" i="44" s="1"/>
  <c r="K10" i="44" s="1"/>
  <c r="K11" i="44" s="1"/>
  <c r="K12" i="44" s="1"/>
  <c r="K13" i="44" s="1"/>
  <c r="K14" i="44" s="1"/>
  <c r="K15" i="44" s="1"/>
  <c r="K16" i="44" s="1"/>
  <c r="K17" i="44" s="1"/>
  <c r="K18" i="44" s="1"/>
  <c r="K19" i="44" s="1"/>
  <c r="I8" i="44"/>
  <c r="I9" i="44" s="1"/>
  <c r="H8" i="44"/>
  <c r="F8" i="44"/>
  <c r="F9" i="44" s="1"/>
  <c r="E8" i="44"/>
  <c r="E9" i="44" s="1"/>
  <c r="E10" i="44" s="1"/>
  <c r="E11" i="44" s="1"/>
  <c r="E12" i="44" s="1"/>
  <c r="E13" i="44" s="1"/>
  <c r="E14" i="44" s="1"/>
  <c r="E15" i="44" s="1"/>
  <c r="E16" i="44" s="1"/>
  <c r="E17" i="44" s="1"/>
  <c r="E18" i="44" s="1"/>
  <c r="E19" i="44" s="1"/>
  <c r="C8" i="44"/>
  <c r="C9" i="44" s="1"/>
  <c r="B8" i="44"/>
  <c r="B9" i="44" s="1"/>
  <c r="B10" i="44" s="1"/>
  <c r="B11" i="44" s="1"/>
  <c r="B12" i="44" s="1"/>
  <c r="B13" i="44" s="1"/>
  <c r="B14" i="44" s="1"/>
  <c r="B15" i="44" s="1"/>
  <c r="B16" i="44" s="1"/>
  <c r="B17" i="44" s="1"/>
  <c r="B18" i="44" s="1"/>
  <c r="B19" i="44" s="1"/>
  <c r="B8" i="42"/>
  <c r="C8" i="42"/>
  <c r="C12" i="42" s="1"/>
  <c r="E8" i="42"/>
  <c r="F8" i="42"/>
  <c r="F9" i="42" s="1"/>
  <c r="H8" i="42"/>
  <c r="H20" i="42" s="1"/>
  <c r="I8" i="42"/>
  <c r="I10" i="42" s="1"/>
  <c r="K8" i="42"/>
  <c r="L8" i="42"/>
  <c r="L9" i="42" s="1"/>
  <c r="M9" i="42" s="1"/>
  <c r="H29" i="42"/>
  <c r="L10" i="42"/>
  <c r="C11" i="42"/>
  <c r="F14" i="42"/>
  <c r="C16" i="42"/>
  <c r="F16" i="42"/>
  <c r="C17" i="42"/>
  <c r="F18" i="42"/>
  <c r="K20" i="42"/>
  <c r="B28" i="42"/>
  <c r="C28" i="42"/>
  <c r="C30" i="42" s="1"/>
  <c r="E28" i="42"/>
  <c r="F28" i="42"/>
  <c r="F31" i="42" s="1"/>
  <c r="H30" i="42"/>
  <c r="H31" i="42"/>
  <c r="C32" i="42"/>
  <c r="H32" i="42"/>
  <c r="C33" i="42"/>
  <c r="H33" i="42"/>
  <c r="H34" i="42"/>
  <c r="H35" i="42"/>
  <c r="F36" i="42"/>
  <c r="H36" i="42"/>
  <c r="C37" i="42"/>
  <c r="H37" i="42"/>
  <c r="H38" i="42"/>
  <c r="H39" i="42"/>
  <c r="I40" i="42"/>
  <c r="I28" i="42" s="1"/>
  <c r="C39" i="42" l="1"/>
  <c r="C36" i="42"/>
  <c r="F32" i="42"/>
  <c r="D28" i="42"/>
  <c r="C15" i="42"/>
  <c r="C10" i="42"/>
  <c r="D10" i="42" s="1"/>
  <c r="C38" i="42"/>
  <c r="C35" i="42"/>
  <c r="D35" i="42" s="1"/>
  <c r="C19" i="42"/>
  <c r="C14" i="42"/>
  <c r="C9" i="42"/>
  <c r="C32" i="44"/>
  <c r="C13" i="42"/>
  <c r="F10" i="44"/>
  <c r="C35" i="44"/>
  <c r="F37" i="42"/>
  <c r="C34" i="42"/>
  <c r="C29" i="42"/>
  <c r="D29" i="42" s="1"/>
  <c r="C18" i="42"/>
  <c r="F12" i="42"/>
  <c r="F37" i="44"/>
  <c r="C12" i="44"/>
  <c r="C15" i="44"/>
  <c r="C18" i="44"/>
  <c r="C29" i="44"/>
  <c r="F31" i="44"/>
  <c r="C34" i="44"/>
  <c r="C37" i="44"/>
  <c r="F39" i="44"/>
  <c r="G28" i="42"/>
  <c r="C13" i="44"/>
  <c r="C16" i="44"/>
  <c r="C19" i="44"/>
  <c r="F38" i="42"/>
  <c r="F34" i="42"/>
  <c r="F29" i="42"/>
  <c r="M8" i="42"/>
  <c r="F13" i="44"/>
  <c r="C17" i="44"/>
  <c r="F19" i="44"/>
  <c r="C30" i="44"/>
  <c r="C33" i="44"/>
  <c r="F35" i="44"/>
  <c r="C38" i="44"/>
  <c r="F33" i="42"/>
  <c r="F30" i="42"/>
  <c r="F39" i="42"/>
  <c r="G39" i="42" s="1"/>
  <c r="F35" i="42"/>
  <c r="L19" i="42"/>
  <c r="L17" i="42"/>
  <c r="L15" i="42"/>
  <c r="L13" i="42"/>
  <c r="L11" i="42"/>
  <c r="D8" i="44"/>
  <c r="C11" i="44"/>
  <c r="D11" i="44" s="1"/>
  <c r="F14" i="44"/>
  <c r="F17" i="44"/>
  <c r="C31" i="44"/>
  <c r="F33" i="44"/>
  <c r="C36" i="44"/>
  <c r="D9" i="44"/>
  <c r="I15" i="44"/>
  <c r="G30" i="42"/>
  <c r="D16" i="42"/>
  <c r="D12" i="42"/>
  <c r="D9" i="42"/>
  <c r="G38" i="42"/>
  <c r="G36" i="42"/>
  <c r="G34" i="42"/>
  <c r="G32" i="42"/>
  <c r="B20" i="42"/>
  <c r="F19" i="42"/>
  <c r="G19" i="42" s="1"/>
  <c r="L18" i="42"/>
  <c r="M18" i="42" s="1"/>
  <c r="F17" i="42"/>
  <c r="G17" i="42" s="1"/>
  <c r="L16" i="42"/>
  <c r="M16" i="42" s="1"/>
  <c r="F15" i="42"/>
  <c r="G15" i="42" s="1"/>
  <c r="L14" i="42"/>
  <c r="M14" i="42" s="1"/>
  <c r="F13" i="42"/>
  <c r="G13" i="42" s="1"/>
  <c r="L12" i="42"/>
  <c r="M12" i="42" s="1"/>
  <c r="F10" i="42"/>
  <c r="G10" i="42" s="1"/>
  <c r="D8" i="42"/>
  <c r="M8" i="44"/>
  <c r="F12" i="44"/>
  <c r="I13" i="44"/>
  <c r="F16" i="44"/>
  <c r="D11" i="42"/>
  <c r="G10" i="44"/>
  <c r="D29" i="44"/>
  <c r="I11" i="44"/>
  <c r="D18" i="42"/>
  <c r="D14" i="42"/>
  <c r="F11" i="42"/>
  <c r="G11" i="42" s="1"/>
  <c r="H28" i="42"/>
  <c r="I10" i="44"/>
  <c r="I14" i="44"/>
  <c r="G37" i="42"/>
  <c r="G35" i="42"/>
  <c r="G33" i="42"/>
  <c r="G31" i="42"/>
  <c r="G29" i="42"/>
  <c r="M19" i="42"/>
  <c r="D19" i="42"/>
  <c r="G18" i="42"/>
  <c r="M17" i="42"/>
  <c r="D17" i="42"/>
  <c r="G16" i="42"/>
  <c r="M15" i="42"/>
  <c r="D15" i="42"/>
  <c r="G14" i="42"/>
  <c r="M13" i="42"/>
  <c r="D13" i="42"/>
  <c r="G12" i="42"/>
  <c r="M11" i="42"/>
  <c r="M10" i="42"/>
  <c r="J8" i="42"/>
  <c r="H28" i="44"/>
  <c r="J28" i="44" s="1"/>
  <c r="K28" i="44" s="1"/>
  <c r="H9" i="44"/>
  <c r="C10" i="44"/>
  <c r="D10" i="44" s="1"/>
  <c r="F11" i="44"/>
  <c r="I12" i="44"/>
  <c r="C14" i="44"/>
  <c r="F15" i="44"/>
  <c r="I16" i="44"/>
  <c r="F18" i="44"/>
  <c r="F30" i="44"/>
  <c r="G30" i="44" s="1"/>
  <c r="F32" i="44"/>
  <c r="F34" i="44"/>
  <c r="F36" i="44"/>
  <c r="G9" i="44"/>
  <c r="G29" i="44"/>
  <c r="G11" i="44"/>
  <c r="D31" i="44"/>
  <c r="D30" i="44"/>
  <c r="L9" i="44"/>
  <c r="M9" i="44" s="1"/>
  <c r="L10" i="44"/>
  <c r="M10" i="44" s="1"/>
  <c r="L11" i="44"/>
  <c r="M11" i="44" s="1"/>
  <c r="L12" i="44"/>
  <c r="L13" i="44"/>
  <c r="L14" i="44"/>
  <c r="L15" i="44"/>
  <c r="L16" i="44"/>
  <c r="L17" i="44"/>
  <c r="J8" i="44"/>
  <c r="I17" i="44"/>
  <c r="I18" i="44"/>
  <c r="I19" i="44"/>
  <c r="G8" i="44"/>
  <c r="G28" i="44"/>
  <c r="I29" i="44"/>
  <c r="I30" i="44"/>
  <c r="I31" i="44"/>
  <c r="I32" i="44"/>
  <c r="I33" i="44"/>
  <c r="I34" i="44"/>
  <c r="I35" i="44"/>
  <c r="I36" i="44"/>
  <c r="I37" i="44"/>
  <c r="I38" i="44"/>
  <c r="L18" i="44"/>
  <c r="L19" i="44"/>
  <c r="J28" i="42"/>
  <c r="K28" i="42" s="1"/>
  <c r="I29" i="42"/>
  <c r="J29" i="42" s="1"/>
  <c r="K29" i="42" s="1"/>
  <c r="I30" i="42"/>
  <c r="J30" i="42" s="1"/>
  <c r="K30" i="42" s="1"/>
  <c r="I31" i="42"/>
  <c r="I32" i="42"/>
  <c r="I33" i="42"/>
  <c r="J33" i="42" s="1"/>
  <c r="K33" i="42" s="1"/>
  <c r="I34" i="42"/>
  <c r="J34" i="42" s="1"/>
  <c r="K34" i="42" s="1"/>
  <c r="I35" i="42"/>
  <c r="I36" i="42"/>
  <c r="J36" i="42" s="1"/>
  <c r="K36" i="42" s="1"/>
  <c r="I37" i="42"/>
  <c r="J37" i="42" s="1"/>
  <c r="K37" i="42" s="1"/>
  <c r="I38" i="42"/>
  <c r="J38" i="42" s="1"/>
  <c r="K38" i="42" s="1"/>
  <c r="I39" i="42"/>
  <c r="E40" i="42"/>
  <c r="D39" i="42"/>
  <c r="D38" i="42"/>
  <c r="D37" i="42"/>
  <c r="D36" i="42"/>
  <c r="D34" i="42"/>
  <c r="D33" i="42"/>
  <c r="D32" i="42"/>
  <c r="D30" i="42"/>
  <c r="E20" i="42"/>
  <c r="J10" i="42"/>
  <c r="G9" i="42"/>
  <c r="G8" i="42"/>
  <c r="I9" i="42"/>
  <c r="J9" i="42" s="1"/>
  <c r="B40" i="42"/>
  <c r="C31" i="42"/>
  <c r="D31" i="42" s="1"/>
  <c r="I19" i="42"/>
  <c r="J19" i="42" s="1"/>
  <c r="I18" i="42"/>
  <c r="J18" i="42" s="1"/>
  <c r="I17" i="42"/>
  <c r="J17" i="42" s="1"/>
  <c r="I16" i="42"/>
  <c r="J16" i="42" s="1"/>
  <c r="I15" i="42"/>
  <c r="J15" i="42" s="1"/>
  <c r="I14" i="42"/>
  <c r="J14" i="42" s="1"/>
  <c r="I13" i="42"/>
  <c r="J13" i="42" s="1"/>
  <c r="I12" i="42"/>
  <c r="J12" i="42" s="1"/>
  <c r="I11" i="42"/>
  <c r="J11" i="42" s="1"/>
  <c r="J32" i="42" l="1"/>
  <c r="K32" i="42" s="1"/>
  <c r="H10" i="44"/>
  <c r="J9" i="44"/>
  <c r="H29" i="44"/>
  <c r="J29" i="44" s="1"/>
  <c r="K29" i="44" s="1"/>
  <c r="J39" i="42"/>
  <c r="K39" i="42" s="1"/>
  <c r="J35" i="42"/>
  <c r="K35" i="42" s="1"/>
  <c r="J31" i="42"/>
  <c r="K31" i="42" s="1"/>
  <c r="H40" i="42"/>
  <c r="G31" i="44"/>
  <c r="G12" i="44"/>
  <c r="D12" i="44"/>
  <c r="M12" i="44"/>
  <c r="D32" i="44"/>
  <c r="H39" i="37"/>
  <c r="E19" i="37"/>
  <c r="B19" i="37"/>
  <c r="B39" i="37"/>
  <c r="K19" i="37"/>
  <c r="E39" i="37"/>
  <c r="J10" i="44" l="1"/>
  <c r="H11" i="44"/>
  <c r="H30" i="44"/>
  <c r="J30" i="44" s="1"/>
  <c r="K30" i="44" s="1"/>
  <c r="G32" i="44"/>
  <c r="G13" i="44"/>
  <c r="D13" i="44"/>
  <c r="M13" i="44"/>
  <c r="D33" i="44"/>
  <c r="L20" i="39"/>
  <c r="F20" i="39"/>
  <c r="C20" i="39"/>
  <c r="C40" i="39"/>
  <c r="F40" i="39"/>
  <c r="I40" i="39"/>
  <c r="I8" i="37"/>
  <c r="I9" i="37" s="1"/>
  <c r="L20" i="38"/>
  <c r="L20" i="37"/>
  <c r="J11" i="44" l="1"/>
  <c r="H12" i="44"/>
  <c r="H31" i="44"/>
  <c r="J31" i="44" s="1"/>
  <c r="K31" i="44" s="1"/>
  <c r="G33" i="44"/>
  <c r="G14" i="44"/>
  <c r="D14" i="44"/>
  <c r="M14" i="44"/>
  <c r="B35" i="44"/>
  <c r="B36" i="44" s="1"/>
  <c r="B37" i="44" s="1"/>
  <c r="B38" i="44" s="1"/>
  <c r="B39" i="44" s="1"/>
  <c r="D34" i="44"/>
  <c r="I16" i="37"/>
  <c r="I12" i="37"/>
  <c r="I19" i="37"/>
  <c r="I15" i="37"/>
  <c r="I11" i="37"/>
  <c r="I18" i="37"/>
  <c r="I14" i="37"/>
  <c r="I10" i="37"/>
  <c r="I17" i="37"/>
  <c r="I13" i="37"/>
  <c r="F20" i="37"/>
  <c r="C20" i="37"/>
  <c r="C40" i="37"/>
  <c r="F40" i="37"/>
  <c r="I40" i="37"/>
  <c r="H13" i="44" l="1"/>
  <c r="J12" i="44"/>
  <c r="H32" i="44"/>
  <c r="J32" i="44" s="1"/>
  <c r="K32" i="44" s="1"/>
  <c r="G34" i="44"/>
  <c r="G15" i="44"/>
  <c r="D15" i="44"/>
  <c r="M15" i="44"/>
  <c r="D35" i="44"/>
  <c r="H38" i="37"/>
  <c r="E18" i="37"/>
  <c r="B18" i="37"/>
  <c r="B38" i="37"/>
  <c r="K18" i="37"/>
  <c r="E38" i="37"/>
  <c r="H14" i="44" l="1"/>
  <c r="J13" i="44"/>
  <c r="H33" i="44"/>
  <c r="J33" i="44" s="1"/>
  <c r="K33" i="44" s="1"/>
  <c r="G35" i="44"/>
  <c r="G16" i="44"/>
  <c r="D16" i="44"/>
  <c r="M16" i="44"/>
  <c r="D36" i="44"/>
  <c r="E17" i="37"/>
  <c r="H37" i="37"/>
  <c r="B17" i="37"/>
  <c r="B37" i="37"/>
  <c r="K17" i="37"/>
  <c r="E37" i="37"/>
  <c r="E16" i="37"/>
  <c r="B16" i="37"/>
  <c r="B36" i="37"/>
  <c r="K16" i="37"/>
  <c r="E36" i="37"/>
  <c r="H15" i="44" l="1"/>
  <c r="J14" i="44"/>
  <c r="H34" i="44"/>
  <c r="J34" i="44" s="1"/>
  <c r="K34" i="44" s="1"/>
  <c r="G36" i="44"/>
  <c r="G17" i="44"/>
  <c r="D17" i="44"/>
  <c r="M17" i="44"/>
  <c r="D37" i="44"/>
  <c r="H36" i="37"/>
  <c r="B35" i="37"/>
  <c r="B15" i="37"/>
  <c r="E15" i="37"/>
  <c r="H35" i="37"/>
  <c r="H16" i="44" l="1"/>
  <c r="J15" i="44"/>
  <c r="H35" i="44"/>
  <c r="J35" i="44" s="1"/>
  <c r="K35" i="44" s="1"/>
  <c r="G37" i="44"/>
  <c r="G18" i="44"/>
  <c r="D18" i="44"/>
  <c r="M18" i="44"/>
  <c r="D38" i="44"/>
  <c r="H34" i="37"/>
  <c r="E14" i="37"/>
  <c r="B14" i="37"/>
  <c r="B34" i="37"/>
  <c r="K14" i="37"/>
  <c r="E34" i="37"/>
  <c r="H17" i="44" l="1"/>
  <c r="J16" i="44"/>
  <c r="H36" i="44"/>
  <c r="J36" i="44" s="1"/>
  <c r="K36" i="44" s="1"/>
  <c r="G38" i="44"/>
  <c r="E20" i="44"/>
  <c r="G19" i="44"/>
  <c r="D19" i="44"/>
  <c r="B20" i="44"/>
  <c r="K20" i="44"/>
  <c r="M19" i="44"/>
  <c r="D39" i="44"/>
  <c r="B40" i="44"/>
  <c r="H33" i="37"/>
  <c r="E13" i="37"/>
  <c r="B13" i="37"/>
  <c r="B33" i="37"/>
  <c r="E33" i="37"/>
  <c r="H32" i="37"/>
  <c r="E12" i="37"/>
  <c r="B12" i="37"/>
  <c r="B32" i="37"/>
  <c r="E32" i="37"/>
  <c r="H18" i="44" l="1"/>
  <c r="J17" i="44"/>
  <c r="H37" i="44"/>
  <c r="J37" i="44" s="1"/>
  <c r="K37" i="44" s="1"/>
  <c r="E40" i="44"/>
  <c r="G39" i="44"/>
  <c r="H31" i="37"/>
  <c r="E11" i="37"/>
  <c r="B11" i="37"/>
  <c r="B31" i="37"/>
  <c r="E31" i="37"/>
  <c r="H19" i="44" l="1"/>
  <c r="J18" i="44"/>
  <c r="H38" i="44"/>
  <c r="J38" i="44" s="1"/>
  <c r="K38" i="44" s="1"/>
  <c r="H30" i="37"/>
  <c r="E10" i="37"/>
  <c r="B10" i="37"/>
  <c r="B30" i="37"/>
  <c r="K10" i="37"/>
  <c r="E30" i="37"/>
  <c r="J19" i="44" l="1"/>
  <c r="H20" i="44"/>
  <c r="H40" i="44" s="1"/>
  <c r="H39" i="44"/>
  <c r="J39" i="44" s="1"/>
  <c r="K39" i="44" s="1"/>
  <c r="H29" i="37"/>
  <c r="E9" i="37"/>
  <c r="B9" i="37"/>
  <c r="B29" i="37"/>
  <c r="K9" i="37"/>
  <c r="E29" i="37"/>
  <c r="H28" i="39" l="1"/>
  <c r="H29" i="39" s="1"/>
  <c r="H30" i="39" s="1"/>
  <c r="H31" i="39" s="1"/>
  <c r="H32" i="39" s="1"/>
  <c r="H33" i="39" s="1"/>
  <c r="H34" i="39" s="1"/>
  <c r="H35" i="39" s="1"/>
  <c r="H36" i="39" s="1"/>
  <c r="H37" i="39" s="1"/>
  <c r="H38" i="39" s="1"/>
  <c r="H39" i="39" s="1"/>
  <c r="E8" i="39"/>
  <c r="E9" i="39" s="1"/>
  <c r="E10" i="39" s="1"/>
  <c r="E11" i="39" s="1"/>
  <c r="E12" i="39" s="1"/>
  <c r="E13" i="39" s="1"/>
  <c r="E14" i="39" s="1"/>
  <c r="E15" i="39" s="1"/>
  <c r="E16" i="39" s="1"/>
  <c r="E17" i="39" s="1"/>
  <c r="E18" i="39" s="1"/>
  <c r="E19" i="39" s="1"/>
  <c r="B8" i="39"/>
  <c r="B9" i="39" s="1"/>
  <c r="B10" i="39" s="1"/>
  <c r="B11" i="39" s="1"/>
  <c r="B12" i="39" s="1"/>
  <c r="B13" i="39" s="1"/>
  <c r="B14" i="39" s="1"/>
  <c r="B15" i="39" s="1"/>
  <c r="B16" i="39" s="1"/>
  <c r="B17" i="39" s="1"/>
  <c r="B18" i="39" s="1"/>
  <c r="B19" i="39" s="1"/>
  <c r="B28" i="39"/>
  <c r="B29" i="39" s="1"/>
  <c r="B30" i="39" s="1"/>
  <c r="B31" i="39" s="1"/>
  <c r="B32" i="39" s="1"/>
  <c r="B33" i="39" s="1"/>
  <c r="B34" i="39" s="1"/>
  <c r="B35" i="39" s="1"/>
  <c r="B36" i="39" s="1"/>
  <c r="B37" i="39" s="1"/>
  <c r="B38" i="39" s="1"/>
  <c r="B39" i="39" s="1"/>
  <c r="K8" i="39"/>
  <c r="K9" i="39" s="1"/>
  <c r="K10" i="39" s="1"/>
  <c r="E28" i="39"/>
  <c r="E29" i="39" s="1"/>
  <c r="E30" i="39" s="1"/>
  <c r="E31" i="39" s="1"/>
  <c r="E32" i="39" s="1"/>
  <c r="E33" i="39" s="1"/>
  <c r="E34" i="39" s="1"/>
  <c r="H28" i="37"/>
  <c r="E8" i="37"/>
  <c r="B8" i="37"/>
  <c r="B28" i="37"/>
  <c r="K8" i="37"/>
  <c r="E28" i="37"/>
  <c r="H8" i="39" l="1"/>
  <c r="H9" i="39" s="1"/>
  <c r="H10" i="39" s="1"/>
  <c r="H11" i="39" s="1"/>
  <c r="H12" i="39" s="1"/>
  <c r="H13" i="39" s="1"/>
  <c r="H14" i="39" s="1"/>
  <c r="H15" i="39" s="1"/>
  <c r="H16" i="39" s="1"/>
  <c r="H17" i="39" s="1"/>
  <c r="H18" i="39" s="1"/>
  <c r="H19" i="39" s="1"/>
  <c r="H8" i="37"/>
  <c r="B20" i="39"/>
  <c r="B9" i="40"/>
  <c r="B10" i="40" s="1"/>
  <c r="B11" i="40" s="1"/>
  <c r="B12" i="40" s="1"/>
  <c r="B13" i="40" s="1"/>
  <c r="B14" i="40" s="1"/>
  <c r="B15" i="40" s="1"/>
  <c r="B16" i="40" s="1"/>
  <c r="B17" i="40" s="1"/>
  <c r="B18" i="40" s="1"/>
  <c r="B19" i="40" s="1"/>
  <c r="E9" i="40"/>
  <c r="E10" i="40" s="1"/>
  <c r="E11" i="40" s="1"/>
  <c r="E12" i="40" s="1"/>
  <c r="E13" i="40" s="1"/>
  <c r="E14" i="40" s="1"/>
  <c r="E15" i="40" s="1"/>
  <c r="E16" i="40" s="1"/>
  <c r="E17" i="40" s="1"/>
  <c r="E18" i="40" s="1"/>
  <c r="E19" i="40" s="1"/>
  <c r="H8" i="40"/>
  <c r="H9" i="40" s="1"/>
  <c r="H10" i="40" s="1"/>
  <c r="H11" i="40" s="1"/>
  <c r="H12" i="40" s="1"/>
  <c r="H13" i="40" s="1"/>
  <c r="H14" i="40" s="1"/>
  <c r="H15" i="40" s="1"/>
  <c r="H16" i="40" s="1"/>
  <c r="H17" i="40" s="1"/>
  <c r="H18" i="40" s="1"/>
  <c r="H19" i="40" s="1"/>
  <c r="K9" i="40"/>
  <c r="K10" i="40" s="1"/>
  <c r="K14" i="40"/>
  <c r="K16" i="40"/>
  <c r="K17" i="40" s="1"/>
  <c r="K18" i="40" s="1"/>
  <c r="K19" i="40" s="1"/>
  <c r="L40" i="39"/>
  <c r="L28" i="39" s="1"/>
  <c r="L32" i="39" s="1"/>
  <c r="I28" i="39"/>
  <c r="I31" i="39" s="1"/>
  <c r="F28" i="39"/>
  <c r="F36" i="39" s="1"/>
  <c r="C28" i="39"/>
  <c r="C39" i="39" s="1"/>
  <c r="L8" i="39"/>
  <c r="L18" i="39" s="1"/>
  <c r="I8" i="39"/>
  <c r="I18" i="39" s="1"/>
  <c r="F8" i="39"/>
  <c r="F19" i="39" s="1"/>
  <c r="C8" i="39"/>
  <c r="C19" i="39" s="1"/>
  <c r="G8" i="39" l="1"/>
  <c r="I19" i="39"/>
  <c r="F39" i="39"/>
  <c r="J9" i="37"/>
  <c r="J10" i="37"/>
  <c r="J13" i="37"/>
  <c r="J12" i="37"/>
  <c r="J14" i="37"/>
  <c r="J17" i="37"/>
  <c r="J15" i="37"/>
  <c r="J18" i="37"/>
  <c r="J11" i="37"/>
  <c r="J16" i="37"/>
  <c r="J8" i="39"/>
  <c r="I11" i="39"/>
  <c r="F34" i="39"/>
  <c r="I35" i="39"/>
  <c r="I32" i="39"/>
  <c r="I39" i="39"/>
  <c r="F30" i="39"/>
  <c r="F31" i="39"/>
  <c r="F35" i="39"/>
  <c r="F38" i="39"/>
  <c r="C30" i="39"/>
  <c r="D30" i="39" s="1"/>
  <c r="D28" i="39"/>
  <c r="C34" i="39"/>
  <c r="C29" i="39"/>
  <c r="D29" i="39" s="1"/>
  <c r="C38" i="39"/>
  <c r="C33" i="39"/>
  <c r="C37" i="39"/>
  <c r="D8" i="39"/>
  <c r="I13" i="39"/>
  <c r="I15" i="39"/>
  <c r="I9" i="39"/>
  <c r="I17" i="39"/>
  <c r="K11" i="39"/>
  <c r="K12" i="39" s="1"/>
  <c r="K13" i="39" s="1"/>
  <c r="K14" i="39" s="1"/>
  <c r="M8" i="39"/>
  <c r="G28" i="39"/>
  <c r="L9" i="39"/>
  <c r="M9" i="39" s="1"/>
  <c r="L11" i="39"/>
  <c r="L13" i="39"/>
  <c r="L15" i="39"/>
  <c r="L17" i="39"/>
  <c r="L19" i="39"/>
  <c r="L36" i="39"/>
  <c r="I10" i="39"/>
  <c r="I12" i="39"/>
  <c r="I14" i="39"/>
  <c r="I16" i="39"/>
  <c r="J28" i="39"/>
  <c r="L38" i="39"/>
  <c r="L34" i="39"/>
  <c r="L30" i="39"/>
  <c r="L39" i="39"/>
  <c r="L35" i="39"/>
  <c r="L31" i="39"/>
  <c r="L37" i="39"/>
  <c r="L33" i="39"/>
  <c r="L10" i="39"/>
  <c r="L12" i="39"/>
  <c r="L14" i="39"/>
  <c r="L16" i="39"/>
  <c r="I37" i="39"/>
  <c r="I33" i="39"/>
  <c r="I29" i="39"/>
  <c r="J29" i="39" s="1"/>
  <c r="I38" i="39"/>
  <c r="I34" i="39"/>
  <c r="I30" i="39"/>
  <c r="I36" i="39"/>
  <c r="L29" i="39"/>
  <c r="C9" i="39"/>
  <c r="D9" i="39" s="1"/>
  <c r="C10" i="39"/>
  <c r="D10" i="39" s="1"/>
  <c r="C11" i="39"/>
  <c r="D11" i="39" s="1"/>
  <c r="C12" i="39"/>
  <c r="C13" i="39"/>
  <c r="C14" i="39"/>
  <c r="C15" i="39"/>
  <c r="C16" i="39"/>
  <c r="C17" i="39"/>
  <c r="C18" i="39"/>
  <c r="K28" i="39"/>
  <c r="M28" i="39" s="1"/>
  <c r="N28" i="39" s="1"/>
  <c r="F29" i="39"/>
  <c r="C32" i="39"/>
  <c r="F33" i="39"/>
  <c r="C36" i="39"/>
  <c r="F37" i="39"/>
  <c r="F9" i="39"/>
  <c r="F10" i="39"/>
  <c r="F11" i="39"/>
  <c r="F12" i="39"/>
  <c r="F13" i="39"/>
  <c r="F14" i="39"/>
  <c r="F15" i="39"/>
  <c r="F16" i="39"/>
  <c r="F17" i="39"/>
  <c r="F18" i="39"/>
  <c r="C31" i="39"/>
  <c r="F32" i="39"/>
  <c r="C35" i="39"/>
  <c r="M10" i="39" l="1"/>
  <c r="K15" i="39"/>
  <c r="M13" i="39"/>
  <c r="M12" i="39"/>
  <c r="M11" i="39"/>
  <c r="D12" i="39"/>
  <c r="D31" i="39"/>
  <c r="G9" i="39"/>
  <c r="J30" i="39"/>
  <c r="K29" i="39"/>
  <c r="M29" i="39" s="1"/>
  <c r="N29" i="39" s="1"/>
  <c r="G29" i="39"/>
  <c r="J9" i="39"/>
  <c r="K16" i="39" l="1"/>
  <c r="K17" i="39" s="1"/>
  <c r="K18" i="39" s="1"/>
  <c r="K19" i="39" s="1"/>
  <c r="M14" i="39"/>
  <c r="M15" i="39"/>
  <c r="D13" i="39"/>
  <c r="J31" i="39"/>
  <c r="D32" i="39"/>
  <c r="G30" i="39"/>
  <c r="G10" i="39"/>
  <c r="K30" i="39"/>
  <c r="M30" i="39" s="1"/>
  <c r="N30" i="39" s="1"/>
  <c r="J10" i="39"/>
  <c r="M18" i="39" l="1"/>
  <c r="M16" i="39"/>
  <c r="M17" i="39"/>
  <c r="K20" i="39"/>
  <c r="G11" i="39"/>
  <c r="K31" i="39"/>
  <c r="M31" i="39" s="1"/>
  <c r="N31" i="39" s="1"/>
  <c r="J11" i="39"/>
  <c r="D33" i="39"/>
  <c r="G31" i="39"/>
  <c r="J32" i="39"/>
  <c r="D14" i="39"/>
  <c r="M19" i="39" l="1"/>
  <c r="G32" i="39"/>
  <c r="J12" i="39"/>
  <c r="D15" i="39"/>
  <c r="J33" i="39"/>
  <c r="D34" i="39"/>
  <c r="G12" i="39"/>
  <c r="K32" i="39"/>
  <c r="M32" i="39" s="1"/>
  <c r="N32" i="39" s="1"/>
  <c r="G13" i="39" l="1"/>
  <c r="K33" i="39"/>
  <c r="M33" i="39" s="1"/>
  <c r="N33" i="39" s="1"/>
  <c r="G33" i="39"/>
  <c r="J34" i="39"/>
  <c r="J13" i="39"/>
  <c r="D35" i="39"/>
  <c r="D16" i="39"/>
  <c r="J14" i="39" l="1"/>
  <c r="D17" i="39"/>
  <c r="G34" i="39"/>
  <c r="E35" i="39"/>
  <c r="E36" i="39" s="1"/>
  <c r="E37" i="39" s="1"/>
  <c r="E38" i="39" s="1"/>
  <c r="E39" i="39" s="1"/>
  <c r="D36" i="39"/>
  <c r="J35" i="39"/>
  <c r="G14" i="39"/>
  <c r="K34" i="39"/>
  <c r="M34" i="39" s="1"/>
  <c r="N34" i="39" s="1"/>
  <c r="G15" i="39" l="1"/>
  <c r="K35" i="39"/>
  <c r="M35" i="39" s="1"/>
  <c r="N35" i="39" s="1"/>
  <c r="D37" i="39"/>
  <c r="J36" i="39"/>
  <c r="G35" i="39"/>
  <c r="D18" i="39"/>
  <c r="J15" i="39"/>
  <c r="K39" i="37"/>
  <c r="B20" i="37"/>
  <c r="L40" i="37"/>
  <c r="L28" i="37" s="1"/>
  <c r="I28" i="37"/>
  <c r="I37" i="37" s="1"/>
  <c r="F28" i="37"/>
  <c r="F32" i="37" s="1"/>
  <c r="C28" i="37"/>
  <c r="C39" i="37" s="1"/>
  <c r="K38" i="37"/>
  <c r="K37" i="37"/>
  <c r="K36" i="37"/>
  <c r="K34" i="37"/>
  <c r="K31" i="37"/>
  <c r="K29" i="37"/>
  <c r="L8" i="37"/>
  <c r="L16" i="37" s="1"/>
  <c r="K20" i="37"/>
  <c r="J8" i="37"/>
  <c r="J19" i="37"/>
  <c r="F8" i="37"/>
  <c r="F19" i="37" s="1"/>
  <c r="C8" i="37"/>
  <c r="C13" i="37" s="1"/>
  <c r="C29" i="37" l="1"/>
  <c r="C14" i="37"/>
  <c r="C15" i="37"/>
  <c r="C36" i="37"/>
  <c r="C31" i="37"/>
  <c r="C38" i="37"/>
  <c r="D38" i="37" s="1"/>
  <c r="C33" i="37"/>
  <c r="C35" i="37"/>
  <c r="D35" i="37" s="1"/>
  <c r="I30" i="37"/>
  <c r="J28" i="37"/>
  <c r="I31" i="37"/>
  <c r="I33" i="37"/>
  <c r="I34" i="37"/>
  <c r="I29" i="37"/>
  <c r="J29" i="37" s="1"/>
  <c r="I35" i="37"/>
  <c r="J16" i="39"/>
  <c r="D19" i="39"/>
  <c r="G16" i="39"/>
  <c r="K36" i="39"/>
  <c r="M36" i="39" s="1"/>
  <c r="N36" i="39" s="1"/>
  <c r="J37" i="39"/>
  <c r="G36" i="39"/>
  <c r="D38" i="39"/>
  <c r="L38" i="37"/>
  <c r="L35" i="37"/>
  <c r="L39" i="37"/>
  <c r="L30" i="37"/>
  <c r="I36" i="37"/>
  <c r="J36" i="37" s="1"/>
  <c r="I38" i="37"/>
  <c r="J38" i="37" s="1"/>
  <c r="L12" i="37"/>
  <c r="L34" i="37"/>
  <c r="F13" i="37"/>
  <c r="G13" i="37"/>
  <c r="C12" i="37"/>
  <c r="K35" i="37"/>
  <c r="F18" i="37"/>
  <c r="G18" i="37" s="1"/>
  <c r="H20" i="37"/>
  <c r="F9" i="37"/>
  <c r="G9" i="37" s="1"/>
  <c r="L9" i="37"/>
  <c r="M9" i="37" s="1"/>
  <c r="F10" i="37"/>
  <c r="G10" i="37" s="1"/>
  <c r="L10" i="37"/>
  <c r="F11" i="37"/>
  <c r="G11" i="37" s="1"/>
  <c r="K32" i="37"/>
  <c r="D13" i="37"/>
  <c r="D8" i="37"/>
  <c r="K30" i="37"/>
  <c r="L15" i="37"/>
  <c r="M15" i="37" s="1"/>
  <c r="F16" i="37"/>
  <c r="G16" i="37" s="1"/>
  <c r="F17" i="37"/>
  <c r="G17" i="37" s="1"/>
  <c r="F36" i="37"/>
  <c r="G36" i="37" s="1"/>
  <c r="F31" i="37"/>
  <c r="G31" i="37" s="1"/>
  <c r="F39" i="37"/>
  <c r="G39" i="37" s="1"/>
  <c r="F35" i="37"/>
  <c r="G35" i="37" s="1"/>
  <c r="F34" i="37"/>
  <c r="G34" i="37" s="1"/>
  <c r="F30" i="37"/>
  <c r="G30" i="37" s="1"/>
  <c r="F38" i="37"/>
  <c r="F33" i="37"/>
  <c r="G33" i="37" s="1"/>
  <c r="F29" i="37"/>
  <c r="G28" i="37"/>
  <c r="F37" i="37"/>
  <c r="G38" i="37"/>
  <c r="G29" i="37"/>
  <c r="G32" i="37"/>
  <c r="E40" i="37"/>
  <c r="G19" i="37"/>
  <c r="B40" i="37"/>
  <c r="D33" i="37"/>
  <c r="D29" i="37"/>
  <c r="D28" i="37"/>
  <c r="D36" i="37"/>
  <c r="D31" i="37"/>
  <c r="D39" i="37"/>
  <c r="D15" i="37"/>
  <c r="D14" i="37"/>
  <c r="K28" i="37"/>
  <c r="D12" i="37"/>
  <c r="F12" i="37"/>
  <c r="G12" i="37" s="1"/>
  <c r="F15" i="37"/>
  <c r="G15" i="37" s="1"/>
  <c r="F14" i="37"/>
  <c r="G14" i="37" s="1"/>
  <c r="G8" i="37"/>
  <c r="K33" i="37"/>
  <c r="L14" i="37"/>
  <c r="M14" i="37" s="1"/>
  <c r="L13" i="37"/>
  <c r="M13" i="37" s="1"/>
  <c r="L19" i="37"/>
  <c r="M19" i="37" s="1"/>
  <c r="L18" i="37"/>
  <c r="M18" i="37" s="1"/>
  <c r="L17" i="37"/>
  <c r="M17" i="37" s="1"/>
  <c r="L11" i="37"/>
  <c r="M11" i="37" s="1"/>
  <c r="J37" i="37"/>
  <c r="C9" i="37"/>
  <c r="D9" i="37" s="1"/>
  <c r="C10" i="37"/>
  <c r="D10" i="37" s="1"/>
  <c r="C11" i="37"/>
  <c r="D11" i="37" s="1"/>
  <c r="M12" i="37"/>
  <c r="C16" i="37"/>
  <c r="D16" i="37" s="1"/>
  <c r="C17" i="37"/>
  <c r="D17" i="37" s="1"/>
  <c r="C18" i="37"/>
  <c r="D18" i="37" s="1"/>
  <c r="C19" i="37"/>
  <c r="D19" i="37" s="1"/>
  <c r="E20" i="37"/>
  <c r="L31" i="37"/>
  <c r="C32" i="37"/>
  <c r="D32" i="37" s="1"/>
  <c r="J33" i="37"/>
  <c r="L36" i="37"/>
  <c r="C37" i="37"/>
  <c r="D37" i="37" s="1"/>
  <c r="G37" i="37"/>
  <c r="I39" i="37"/>
  <c r="J39" i="37" s="1"/>
  <c r="H40" i="37"/>
  <c r="J30" i="37"/>
  <c r="L32" i="37"/>
  <c r="J34" i="37"/>
  <c r="J35" i="37"/>
  <c r="L37" i="37"/>
  <c r="M8" i="37"/>
  <c r="M10" i="37"/>
  <c r="M16" i="37"/>
  <c r="L29" i="37"/>
  <c r="C30" i="37"/>
  <c r="D30" i="37" s="1"/>
  <c r="J31" i="37"/>
  <c r="I32" i="37"/>
  <c r="J32" i="37" s="1"/>
  <c r="L33" i="37"/>
  <c r="C34" i="37"/>
  <c r="D34" i="37" s="1"/>
  <c r="G37" i="39" l="1"/>
  <c r="B40" i="39"/>
  <c r="D39" i="39"/>
  <c r="J17" i="39"/>
  <c r="G17" i="39"/>
  <c r="K37" i="39"/>
  <c r="M37" i="39" s="1"/>
  <c r="N37" i="39" s="1"/>
  <c r="J38" i="39"/>
  <c r="K40" i="37"/>
  <c r="M37" i="37"/>
  <c r="N37" i="37" s="1"/>
  <c r="M32" i="37"/>
  <c r="N32" i="37" s="1"/>
  <c r="M28" i="37"/>
  <c r="N28" i="37" s="1"/>
  <c r="M36" i="37"/>
  <c r="N36" i="37" s="1"/>
  <c r="M31" i="37"/>
  <c r="N31" i="37" s="1"/>
  <c r="M39" i="37"/>
  <c r="N39" i="37" s="1"/>
  <c r="M35" i="37"/>
  <c r="N35" i="37" s="1"/>
  <c r="M34" i="37"/>
  <c r="N34" i="37" s="1"/>
  <c r="M30" i="37"/>
  <c r="N30" i="37" s="1"/>
  <c r="M38" i="37"/>
  <c r="N38" i="37" s="1"/>
  <c r="M33" i="37"/>
  <c r="N33" i="37" s="1"/>
  <c r="M29" i="37"/>
  <c r="N29" i="37" s="1"/>
  <c r="H19" i="31"/>
  <c r="G38" i="39" l="1"/>
  <c r="J39" i="39"/>
  <c r="H40" i="39"/>
  <c r="J18" i="39"/>
  <c r="G18" i="39"/>
  <c r="K38" i="39"/>
  <c r="M38" i="39" s="1"/>
  <c r="N38" i="39" s="1"/>
  <c r="H39" i="31"/>
  <c r="E19" i="31"/>
  <c r="B19" i="31"/>
  <c r="B39" i="31"/>
  <c r="K19" i="31"/>
  <c r="E39" i="31"/>
  <c r="J19" i="39" l="1"/>
  <c r="H20" i="39"/>
  <c r="G39" i="39"/>
  <c r="E40" i="39"/>
  <c r="E20" i="39"/>
  <c r="G19" i="39"/>
  <c r="K39" i="39"/>
  <c r="M39" i="39" s="1"/>
  <c r="N39" i="39" s="1"/>
  <c r="H18" i="31"/>
  <c r="E18" i="31"/>
  <c r="B18" i="31"/>
  <c r="B38" i="31"/>
  <c r="K18" i="31"/>
  <c r="E38" i="31"/>
  <c r="K40" i="39" l="1"/>
  <c r="H38" i="31"/>
  <c r="H37" i="31"/>
  <c r="E17" i="31"/>
  <c r="B17" i="31"/>
  <c r="B37" i="31"/>
  <c r="K17" i="31"/>
  <c r="E37" i="31"/>
  <c r="H17" i="31"/>
  <c r="H16" i="31" l="1"/>
  <c r="E16" i="31"/>
  <c r="B16" i="31"/>
  <c r="B36" i="31"/>
  <c r="K16" i="31"/>
  <c r="E36" i="31"/>
  <c r="H36" i="31" l="1"/>
  <c r="H15" i="31"/>
  <c r="H35" i="31"/>
  <c r="E15" i="31"/>
  <c r="B15" i="31"/>
  <c r="B35" i="31"/>
  <c r="H14" i="31" l="1"/>
  <c r="H34" i="31"/>
  <c r="E14" i="31"/>
  <c r="B14" i="31"/>
  <c r="B34" i="31"/>
  <c r="K14" i="31"/>
  <c r="E34" i="31"/>
  <c r="H13" i="31"/>
  <c r="H33" i="31" l="1"/>
  <c r="E13" i="31"/>
  <c r="B13" i="31"/>
  <c r="B33" i="31"/>
  <c r="E33" i="31"/>
  <c r="H32" i="31" l="1"/>
  <c r="E12" i="31"/>
  <c r="B12" i="31"/>
  <c r="B32" i="31"/>
  <c r="E32" i="31"/>
  <c r="H12" i="31"/>
  <c r="E31" i="31" l="1"/>
  <c r="H11" i="31"/>
  <c r="H31" i="31"/>
  <c r="E11" i="31"/>
  <c r="B11" i="31"/>
  <c r="B31" i="31"/>
  <c r="H30" i="31" l="1"/>
  <c r="E10" i="31"/>
  <c r="B10" i="31"/>
  <c r="B30" i="31"/>
  <c r="K10" i="31"/>
  <c r="E30" i="31"/>
  <c r="H10" i="31" l="1"/>
  <c r="H9" i="31"/>
  <c r="H29" i="31"/>
  <c r="E9" i="31"/>
  <c r="B9" i="31"/>
  <c r="B29" i="31"/>
  <c r="K9" i="31"/>
  <c r="E29" i="31"/>
  <c r="H8" i="33"/>
  <c r="H9" i="33" s="1"/>
  <c r="H10" i="33" s="1"/>
  <c r="H11" i="33" s="1"/>
  <c r="H12" i="33" s="1"/>
  <c r="H13" i="33" s="1"/>
  <c r="H14" i="33" s="1"/>
  <c r="H15" i="33" s="1"/>
  <c r="H16" i="33" s="1"/>
  <c r="H17" i="33" s="1"/>
  <c r="H18" i="33" s="1"/>
  <c r="H19" i="33" s="1"/>
  <c r="H8" i="31"/>
  <c r="E28" i="33" l="1"/>
  <c r="E29" i="33" s="1"/>
  <c r="E30" i="33" s="1"/>
  <c r="E31" i="33" s="1"/>
  <c r="E32" i="33" s="1"/>
  <c r="E33" i="33" s="1"/>
  <c r="E34" i="33" s="1"/>
  <c r="K8" i="33"/>
  <c r="K9" i="33" s="1"/>
  <c r="K10" i="33" s="1"/>
  <c r="B28" i="33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H28" i="33"/>
  <c r="H29" i="33" s="1"/>
  <c r="H30" i="33" s="1"/>
  <c r="H31" i="33" s="1"/>
  <c r="H32" i="33" s="1"/>
  <c r="H33" i="33" s="1"/>
  <c r="H34" i="33" s="1"/>
  <c r="H35" i="33" s="1"/>
  <c r="H36" i="33" s="1"/>
  <c r="H37" i="33" s="1"/>
  <c r="H38" i="33" s="1"/>
  <c r="H39" i="33" s="1"/>
  <c r="E8" i="33"/>
  <c r="E9" i="33" s="1"/>
  <c r="E10" i="33" s="1"/>
  <c r="E11" i="33" s="1"/>
  <c r="E12" i="33" s="1"/>
  <c r="E13" i="33" s="1"/>
  <c r="E14" i="33" s="1"/>
  <c r="E15" i="33" s="1"/>
  <c r="E16" i="33" s="1"/>
  <c r="E17" i="33" s="1"/>
  <c r="E18" i="33" s="1"/>
  <c r="E19" i="33" s="1"/>
  <c r="B8" i="33"/>
  <c r="B9" i="33" s="1"/>
  <c r="B10" i="33" s="1"/>
  <c r="B11" i="33" s="1"/>
  <c r="B12" i="33" s="1"/>
  <c r="B13" i="33" s="1"/>
  <c r="B14" i="33" s="1"/>
  <c r="B15" i="33" s="1"/>
  <c r="B16" i="33" s="1"/>
  <c r="B17" i="33" s="1"/>
  <c r="B18" i="33" s="1"/>
  <c r="B19" i="33" s="1"/>
  <c r="H28" i="31"/>
  <c r="E8" i="31"/>
  <c r="B8" i="31"/>
  <c r="B28" i="31"/>
  <c r="K8" i="31"/>
  <c r="E28" i="31"/>
  <c r="E35" i="33" l="1"/>
  <c r="E36" i="33" s="1"/>
  <c r="E37" i="33" s="1"/>
  <c r="E38" i="33" s="1"/>
  <c r="E39" i="33" s="1"/>
  <c r="K11" i="33"/>
  <c r="K12" i="33" s="1"/>
  <c r="K13" i="33" s="1"/>
  <c r="L40" i="33"/>
  <c r="L28" i="33" s="1"/>
  <c r="I28" i="33"/>
  <c r="J28" i="33" s="1"/>
  <c r="F28" i="33"/>
  <c r="F36" i="33" s="1"/>
  <c r="C28" i="33"/>
  <c r="C39" i="33" s="1"/>
  <c r="L8" i="33"/>
  <c r="L14" i="33" s="1"/>
  <c r="I8" i="33"/>
  <c r="I16" i="33" s="1"/>
  <c r="F8" i="33"/>
  <c r="F19" i="33" s="1"/>
  <c r="C8" i="33"/>
  <c r="C19" i="33" s="1"/>
  <c r="F39" i="33" l="1"/>
  <c r="D8" i="33"/>
  <c r="F29" i="33"/>
  <c r="G8" i="33"/>
  <c r="F33" i="33"/>
  <c r="L19" i="33"/>
  <c r="L17" i="33"/>
  <c r="L9" i="33"/>
  <c r="M9" i="33" s="1"/>
  <c r="L11" i="33"/>
  <c r="K14" i="33"/>
  <c r="K15" i="33" s="1"/>
  <c r="K16" i="33" s="1"/>
  <c r="K17" i="33" s="1"/>
  <c r="K18" i="33" s="1"/>
  <c r="K19" i="33" s="1"/>
  <c r="L13" i="33"/>
  <c r="F34" i="33"/>
  <c r="F30" i="33"/>
  <c r="F31" i="33"/>
  <c r="F38" i="33"/>
  <c r="F35" i="33"/>
  <c r="C34" i="33"/>
  <c r="D28" i="33"/>
  <c r="C29" i="33"/>
  <c r="C38" i="33"/>
  <c r="C33" i="33"/>
  <c r="C30" i="33"/>
  <c r="D30" i="33" s="1"/>
  <c r="C37" i="33"/>
  <c r="L15" i="33"/>
  <c r="L29" i="33"/>
  <c r="L36" i="33"/>
  <c r="D29" i="33"/>
  <c r="I10" i="33"/>
  <c r="J10" i="33" s="1"/>
  <c r="I14" i="33"/>
  <c r="I18" i="33"/>
  <c r="L10" i="33"/>
  <c r="L16" i="33"/>
  <c r="L18" i="33"/>
  <c r="I37" i="33"/>
  <c r="I33" i="33"/>
  <c r="I29" i="33"/>
  <c r="I36" i="33"/>
  <c r="I38" i="33"/>
  <c r="I34" i="33"/>
  <c r="I30" i="33"/>
  <c r="I32" i="33"/>
  <c r="J8" i="33"/>
  <c r="M8" i="33"/>
  <c r="I9" i="33"/>
  <c r="J9" i="33" s="1"/>
  <c r="I11" i="33"/>
  <c r="J11" i="33" s="1"/>
  <c r="I13" i="33"/>
  <c r="I15" i="33"/>
  <c r="I17" i="33"/>
  <c r="I19" i="33"/>
  <c r="G28" i="33"/>
  <c r="L38" i="33"/>
  <c r="L34" i="33"/>
  <c r="L30" i="33"/>
  <c r="L37" i="33"/>
  <c r="L39" i="33"/>
  <c r="L35" i="33"/>
  <c r="L31" i="33"/>
  <c r="K29" i="33"/>
  <c r="M29" i="33" s="1"/>
  <c r="N29" i="33" s="1"/>
  <c r="I31" i="33"/>
  <c r="L32" i="33"/>
  <c r="L33" i="33"/>
  <c r="I39" i="33"/>
  <c r="I12" i="33"/>
  <c r="L12" i="33"/>
  <c r="I35" i="33"/>
  <c r="C9" i="33"/>
  <c r="D9" i="33" s="1"/>
  <c r="C10" i="33"/>
  <c r="D10" i="33" s="1"/>
  <c r="C11" i="33"/>
  <c r="C12" i="33"/>
  <c r="C13" i="33"/>
  <c r="C14" i="33"/>
  <c r="C15" i="33"/>
  <c r="C16" i="33"/>
  <c r="C17" i="33"/>
  <c r="C18" i="33"/>
  <c r="K28" i="33"/>
  <c r="M28" i="33" s="1"/>
  <c r="N28" i="33" s="1"/>
  <c r="C32" i="33"/>
  <c r="C36" i="33"/>
  <c r="F37" i="33"/>
  <c r="F9" i="33"/>
  <c r="F10" i="33"/>
  <c r="F11" i="33"/>
  <c r="F12" i="33"/>
  <c r="F13" i="33"/>
  <c r="F14" i="33"/>
  <c r="F15" i="33"/>
  <c r="F16" i="33"/>
  <c r="F17" i="33"/>
  <c r="F18" i="33"/>
  <c r="C31" i="33"/>
  <c r="F32" i="33"/>
  <c r="C35" i="33"/>
  <c r="L40" i="31"/>
  <c r="L28" i="31" s="1"/>
  <c r="L38" i="31" s="1"/>
  <c r="I28" i="31"/>
  <c r="I37" i="31" s="1"/>
  <c r="F28" i="31"/>
  <c r="F36" i="31" s="1"/>
  <c r="C28" i="31"/>
  <c r="B40" i="31"/>
  <c r="K39" i="31"/>
  <c r="K37" i="31"/>
  <c r="K35" i="31"/>
  <c r="K34" i="31"/>
  <c r="E20" i="31"/>
  <c r="K33" i="31"/>
  <c r="K32" i="31"/>
  <c r="K31" i="31"/>
  <c r="H20" i="31"/>
  <c r="K29" i="31"/>
  <c r="L8" i="31"/>
  <c r="L14" i="31" s="1"/>
  <c r="I8" i="31"/>
  <c r="I19" i="31" s="1"/>
  <c r="J19" i="31" s="1"/>
  <c r="F8" i="31"/>
  <c r="F14" i="31" s="1"/>
  <c r="C8" i="31"/>
  <c r="C15" i="31" s="1"/>
  <c r="M19" i="33" l="1"/>
  <c r="L15" i="31"/>
  <c r="L17" i="31"/>
  <c r="C19" i="31"/>
  <c r="C11" i="31"/>
  <c r="D11" i="31" s="1"/>
  <c r="C16" i="31"/>
  <c r="C18" i="31"/>
  <c r="L19" i="31"/>
  <c r="M19" i="31" s="1"/>
  <c r="L9" i="31"/>
  <c r="L11" i="31"/>
  <c r="L16" i="31"/>
  <c r="L18" i="31"/>
  <c r="F34" i="31"/>
  <c r="G34" i="31" s="1"/>
  <c r="D31" i="33"/>
  <c r="M13" i="33"/>
  <c r="M11" i="33"/>
  <c r="M18" i="33"/>
  <c r="M16" i="33"/>
  <c r="M12" i="33"/>
  <c r="K20" i="33"/>
  <c r="M10" i="33"/>
  <c r="M17" i="33"/>
  <c r="M14" i="33"/>
  <c r="M15" i="33"/>
  <c r="D11" i="33"/>
  <c r="D32" i="33"/>
  <c r="J12" i="33"/>
  <c r="G29" i="33"/>
  <c r="G9" i="33"/>
  <c r="J29" i="33"/>
  <c r="D12" i="33"/>
  <c r="I30" i="31"/>
  <c r="J30" i="31" s="1"/>
  <c r="I35" i="31"/>
  <c r="J35" i="31" s="1"/>
  <c r="I34" i="31"/>
  <c r="J34" i="31" s="1"/>
  <c r="I31" i="31"/>
  <c r="I36" i="31"/>
  <c r="J36" i="31" s="1"/>
  <c r="I39" i="31"/>
  <c r="J39" i="31" s="1"/>
  <c r="F31" i="31"/>
  <c r="F38" i="31"/>
  <c r="G38" i="31" s="1"/>
  <c r="F29" i="31"/>
  <c r="G29" i="31" s="1"/>
  <c r="F35" i="31"/>
  <c r="G35" i="31" s="1"/>
  <c r="F39" i="31"/>
  <c r="G28" i="31"/>
  <c r="F30" i="31"/>
  <c r="G30" i="31" s="1"/>
  <c r="F33" i="31"/>
  <c r="G33" i="31" s="1"/>
  <c r="L10" i="31"/>
  <c r="I13" i="31"/>
  <c r="J8" i="31"/>
  <c r="I12" i="31"/>
  <c r="J12" i="31" s="1"/>
  <c r="I16" i="31"/>
  <c r="I10" i="31"/>
  <c r="I11" i="31"/>
  <c r="L36" i="31"/>
  <c r="C10" i="31"/>
  <c r="C17" i="31"/>
  <c r="L31" i="31"/>
  <c r="F19" i="31"/>
  <c r="G19" i="31" s="1"/>
  <c r="F18" i="31"/>
  <c r="G18" i="31" s="1"/>
  <c r="F17" i="31"/>
  <c r="G17" i="31" s="1"/>
  <c r="F16" i="31"/>
  <c r="G16" i="31" s="1"/>
  <c r="F11" i="31"/>
  <c r="G11" i="31" s="1"/>
  <c r="F10" i="31"/>
  <c r="G10" i="31" s="1"/>
  <c r="F12" i="31"/>
  <c r="G12" i="31" s="1"/>
  <c r="F13" i="31"/>
  <c r="G13" i="31" s="1"/>
  <c r="G8" i="31"/>
  <c r="K20" i="31"/>
  <c r="F9" i="31"/>
  <c r="G9" i="31" s="1"/>
  <c r="K30" i="31"/>
  <c r="K38" i="31"/>
  <c r="C39" i="31"/>
  <c r="D39" i="31" s="1"/>
  <c r="C34" i="31"/>
  <c r="D34" i="31" s="1"/>
  <c r="C30" i="31"/>
  <c r="D30" i="31" s="1"/>
  <c r="D28" i="31"/>
  <c r="C37" i="31"/>
  <c r="D37" i="31" s="1"/>
  <c r="C36" i="31"/>
  <c r="D36" i="31" s="1"/>
  <c r="C35" i="31"/>
  <c r="D35" i="31" s="1"/>
  <c r="C31" i="31"/>
  <c r="D31" i="31" s="1"/>
  <c r="C38" i="31"/>
  <c r="C33" i="31"/>
  <c r="D33" i="31" s="1"/>
  <c r="C29" i="31"/>
  <c r="D29" i="31" s="1"/>
  <c r="H40" i="31"/>
  <c r="C32" i="31"/>
  <c r="D32" i="31" s="1"/>
  <c r="D15" i="31"/>
  <c r="D19" i="31"/>
  <c r="D18" i="31"/>
  <c r="D17" i="31"/>
  <c r="B20" i="31"/>
  <c r="D8" i="31"/>
  <c r="D16" i="31"/>
  <c r="D10" i="31"/>
  <c r="F15" i="31"/>
  <c r="G15" i="31" s="1"/>
  <c r="K36" i="31"/>
  <c r="G39" i="31"/>
  <c r="K28" i="31"/>
  <c r="M11" i="31"/>
  <c r="G14" i="31"/>
  <c r="L32" i="31"/>
  <c r="M9" i="31"/>
  <c r="M10" i="31"/>
  <c r="C13" i="31"/>
  <c r="D13" i="31" s="1"/>
  <c r="L13" i="31"/>
  <c r="M13" i="31" s="1"/>
  <c r="M8" i="31"/>
  <c r="I9" i="31"/>
  <c r="J9" i="31" s="1"/>
  <c r="J10" i="31"/>
  <c r="J11" i="31"/>
  <c r="C12" i="31"/>
  <c r="D12" i="31" s="1"/>
  <c r="L12" i="31"/>
  <c r="M12" i="31" s="1"/>
  <c r="I14" i="31"/>
  <c r="J14" i="31" s="1"/>
  <c r="M14" i="31"/>
  <c r="I15" i="31"/>
  <c r="J15" i="31" s="1"/>
  <c r="J16" i="31"/>
  <c r="J28" i="31"/>
  <c r="I29" i="31"/>
  <c r="J29" i="31" s="1"/>
  <c r="L30" i="31"/>
  <c r="G31" i="31"/>
  <c r="F32" i="31"/>
  <c r="G32" i="31" s="1"/>
  <c r="I33" i="31"/>
  <c r="J33" i="31" s="1"/>
  <c r="L34" i="31"/>
  <c r="L35" i="31"/>
  <c r="G36" i="31"/>
  <c r="F37" i="31"/>
  <c r="G37" i="31" s="1"/>
  <c r="J37" i="31"/>
  <c r="I38" i="31"/>
  <c r="J38" i="31" s="1"/>
  <c r="L39" i="31"/>
  <c r="E40" i="31"/>
  <c r="C9" i="31"/>
  <c r="D9" i="31" s="1"/>
  <c r="J13" i="31"/>
  <c r="C14" i="31"/>
  <c r="D14" i="31" s="1"/>
  <c r="L37" i="31"/>
  <c r="M15" i="31"/>
  <c r="M16" i="31"/>
  <c r="I17" i="31"/>
  <c r="J17" i="31" s="1"/>
  <c r="M17" i="31"/>
  <c r="I18" i="31"/>
  <c r="J18" i="31" s="1"/>
  <c r="M18" i="31"/>
  <c r="L29" i="31"/>
  <c r="J31" i="31"/>
  <c r="I32" i="31"/>
  <c r="J32" i="31" s="1"/>
  <c r="L33" i="31"/>
  <c r="D38" i="31"/>
  <c r="H19" i="26"/>
  <c r="H39" i="26"/>
  <c r="E19" i="26"/>
  <c r="B19" i="26"/>
  <c r="B39" i="26"/>
  <c r="K19" i="26"/>
  <c r="E39" i="26"/>
  <c r="D13" i="33" l="1"/>
  <c r="J30" i="33"/>
  <c r="G30" i="33"/>
  <c r="D33" i="33"/>
  <c r="G10" i="33"/>
  <c r="K30" i="33"/>
  <c r="M30" i="33" s="1"/>
  <c r="N30" i="33" s="1"/>
  <c r="J13" i="33"/>
  <c r="M37" i="31"/>
  <c r="N37" i="31" s="1"/>
  <c r="M32" i="31"/>
  <c r="N32" i="31" s="1"/>
  <c r="M28" i="31"/>
  <c r="N28" i="31" s="1"/>
  <c r="M31" i="31"/>
  <c r="N31" i="31" s="1"/>
  <c r="M39" i="31"/>
  <c r="N39" i="31" s="1"/>
  <c r="M38" i="31"/>
  <c r="N38" i="31" s="1"/>
  <c r="M33" i="31"/>
  <c r="N33" i="31" s="1"/>
  <c r="M29" i="31"/>
  <c r="N29" i="31" s="1"/>
  <c r="M36" i="31"/>
  <c r="N36" i="31" s="1"/>
  <c r="M35" i="31"/>
  <c r="N35" i="31" s="1"/>
  <c r="M34" i="31"/>
  <c r="N34" i="31" s="1"/>
  <c r="M30" i="31"/>
  <c r="N30" i="31" s="1"/>
  <c r="K40" i="31"/>
  <c r="H18" i="26"/>
  <c r="G11" i="33" l="1"/>
  <c r="K31" i="33"/>
  <c r="M31" i="33" s="1"/>
  <c r="N31" i="33" s="1"/>
  <c r="G31" i="33"/>
  <c r="J14" i="33"/>
  <c r="D34" i="33"/>
  <c r="D14" i="33"/>
  <c r="J31" i="33"/>
  <c r="B38" i="22"/>
  <c r="J15" i="33" l="1"/>
  <c r="D15" i="33"/>
  <c r="G12" i="33"/>
  <c r="K32" i="33"/>
  <c r="M32" i="33" s="1"/>
  <c r="N32" i="33" s="1"/>
  <c r="J32" i="33"/>
  <c r="D35" i="33"/>
  <c r="G32" i="33"/>
  <c r="H38" i="26"/>
  <c r="E18" i="26"/>
  <c r="B18" i="26"/>
  <c r="B38" i="26"/>
  <c r="K18" i="26"/>
  <c r="E38" i="26"/>
  <c r="H17" i="26"/>
  <c r="D36" i="33" l="1"/>
  <c r="G13" i="33"/>
  <c r="K33" i="33"/>
  <c r="M33" i="33" s="1"/>
  <c r="N33" i="33" s="1"/>
  <c r="D16" i="33"/>
  <c r="J33" i="33"/>
  <c r="J16" i="33"/>
  <c r="G33" i="33"/>
  <c r="B17" i="26"/>
  <c r="E37" i="26"/>
  <c r="K17" i="26"/>
  <c r="B37" i="26"/>
  <c r="H37" i="26"/>
  <c r="E17" i="26"/>
  <c r="D17" i="33" l="1"/>
  <c r="J34" i="33"/>
  <c r="J17" i="33"/>
  <c r="G14" i="33"/>
  <c r="K34" i="33"/>
  <c r="M34" i="33" s="1"/>
  <c r="N34" i="33" s="1"/>
  <c r="G34" i="33"/>
  <c r="D37" i="33"/>
  <c r="H16" i="26"/>
  <c r="J18" i="33" l="1"/>
  <c r="D38" i="33"/>
  <c r="G35" i="33"/>
  <c r="J35" i="33"/>
  <c r="G15" i="33"/>
  <c r="K35" i="33"/>
  <c r="M35" i="33" s="1"/>
  <c r="N35" i="33" s="1"/>
  <c r="D18" i="33"/>
  <c r="E16" i="26"/>
  <c r="B16" i="26"/>
  <c r="B36" i="26"/>
  <c r="K16" i="26"/>
  <c r="E36" i="26"/>
  <c r="G16" i="33" l="1"/>
  <c r="K36" i="33"/>
  <c r="M36" i="33" s="1"/>
  <c r="N36" i="33" s="1"/>
  <c r="G36" i="33"/>
  <c r="B20" i="33"/>
  <c r="D19" i="33"/>
  <c r="B40" i="33"/>
  <c r="D39" i="33"/>
  <c r="J36" i="33"/>
  <c r="J19" i="33"/>
  <c r="H20" i="33"/>
  <c r="J37" i="33" l="1"/>
  <c r="G37" i="33"/>
  <c r="G17" i="33"/>
  <c r="K37" i="33"/>
  <c r="M37" i="33" s="1"/>
  <c r="N37" i="33" s="1"/>
  <c r="H36" i="26"/>
  <c r="J38" i="33" l="1"/>
  <c r="G18" i="33"/>
  <c r="K38" i="33"/>
  <c r="M38" i="33" s="1"/>
  <c r="N38" i="33" s="1"/>
  <c r="G38" i="33"/>
  <c r="H35" i="26"/>
  <c r="E15" i="26"/>
  <c r="B15" i="26"/>
  <c r="B35" i="26"/>
  <c r="J39" i="33" l="1"/>
  <c r="H40" i="33"/>
  <c r="E20" i="33"/>
  <c r="G19" i="33"/>
  <c r="K39" i="33"/>
  <c r="M39" i="33" s="1"/>
  <c r="N39" i="33" s="1"/>
  <c r="G39" i="33"/>
  <c r="E40" i="33"/>
  <c r="H15" i="26"/>
  <c r="K40" i="33" l="1"/>
  <c r="H14" i="26"/>
  <c r="H34" i="26"/>
  <c r="E14" i="26"/>
  <c r="B14" i="26"/>
  <c r="B34" i="26"/>
  <c r="K14" i="26"/>
  <c r="E34" i="26"/>
  <c r="H13" i="26" l="1"/>
  <c r="E13" i="26" l="1"/>
  <c r="B13" i="26"/>
  <c r="B33" i="26"/>
  <c r="E33" i="26"/>
  <c r="H33" i="26" l="1"/>
  <c r="H12" i="26"/>
  <c r="H32" i="26" l="1"/>
  <c r="E12" i="26"/>
  <c r="B12" i="26"/>
  <c r="B32" i="26"/>
  <c r="E32" i="26"/>
  <c r="H11" i="26"/>
  <c r="H31" i="26" l="1"/>
  <c r="E11" i="26"/>
  <c r="B11" i="26"/>
  <c r="B31" i="26"/>
  <c r="E31" i="26"/>
  <c r="H30" i="26" l="1"/>
  <c r="E10" i="26"/>
  <c r="B10" i="26"/>
  <c r="B30" i="26"/>
  <c r="K10" i="26"/>
  <c r="E30" i="26"/>
  <c r="H10" i="26"/>
  <c r="H29" i="26" l="1"/>
  <c r="H28" i="28"/>
  <c r="H29" i="28" s="1"/>
  <c r="H30" i="28" s="1"/>
  <c r="H31" i="28" s="1"/>
  <c r="H32" i="28" s="1"/>
  <c r="H33" i="28" s="1"/>
  <c r="H34" i="28" s="1"/>
  <c r="H35" i="28" s="1"/>
  <c r="H36" i="28" s="1"/>
  <c r="H37" i="28" s="1"/>
  <c r="H38" i="28" s="1"/>
  <c r="H39" i="28" s="1"/>
  <c r="H28" i="26"/>
  <c r="E29" i="26"/>
  <c r="E28" i="28"/>
  <c r="E29" i="28" s="1"/>
  <c r="E30" i="28" s="1"/>
  <c r="E31" i="28" s="1"/>
  <c r="E32" i="28" s="1"/>
  <c r="E33" i="28" s="1"/>
  <c r="E34" i="28" s="1"/>
  <c r="E28" i="26"/>
  <c r="B29" i="26"/>
  <c r="B28" i="28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28" i="26"/>
  <c r="K8" i="28"/>
  <c r="K8" i="26"/>
  <c r="H9" i="26"/>
  <c r="H8" i="28"/>
  <c r="H9" i="28" s="1"/>
  <c r="H10" i="28" s="1"/>
  <c r="H11" i="28" s="1"/>
  <c r="H12" i="28" s="1"/>
  <c r="H13" i="28" s="1"/>
  <c r="H14" i="28" s="1"/>
  <c r="H15" i="28" s="1"/>
  <c r="H16" i="28" s="1"/>
  <c r="H17" i="28" s="1"/>
  <c r="H18" i="28" s="1"/>
  <c r="H19" i="28" s="1"/>
  <c r="H8" i="26"/>
  <c r="E9" i="28"/>
  <c r="E10" i="28" s="1"/>
  <c r="E11" i="28" s="1"/>
  <c r="E12" i="28" s="1"/>
  <c r="E13" i="28" s="1"/>
  <c r="E14" i="28" s="1"/>
  <c r="E15" i="28" s="1"/>
  <c r="E16" i="28" s="1"/>
  <c r="E17" i="28" s="1"/>
  <c r="E18" i="28" s="1"/>
  <c r="E19" i="28" s="1"/>
  <c r="E9" i="26"/>
  <c r="E8" i="28"/>
  <c r="E8" i="26"/>
  <c r="B9" i="26"/>
  <c r="B8" i="28"/>
  <c r="B9" i="28" s="1"/>
  <c r="B10" i="28" s="1"/>
  <c r="B11" i="28" s="1"/>
  <c r="B12" i="28" s="1"/>
  <c r="B13" i="28" s="1"/>
  <c r="B14" i="28" s="1"/>
  <c r="B15" i="28" s="1"/>
  <c r="B16" i="28" s="1"/>
  <c r="B17" i="28" s="1"/>
  <c r="B18" i="28" s="1"/>
  <c r="B19" i="28" s="1"/>
  <c r="B8" i="26"/>
  <c r="K9" i="28" l="1"/>
  <c r="K10" i="28" s="1"/>
  <c r="L40" i="26"/>
  <c r="L28" i="26" s="1"/>
  <c r="L39" i="26" s="1"/>
  <c r="H40" i="26"/>
  <c r="E40" i="26"/>
  <c r="B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I28" i="26"/>
  <c r="J28" i="26" s="1"/>
  <c r="F28" i="26"/>
  <c r="G28" i="26" s="1"/>
  <c r="C28" i="26"/>
  <c r="D28" i="26" s="1"/>
  <c r="K20" i="26"/>
  <c r="H20" i="26"/>
  <c r="E20" i="26"/>
  <c r="B20" i="26"/>
  <c r="L8" i="26"/>
  <c r="L19" i="26" s="1"/>
  <c r="M19" i="26" s="1"/>
  <c r="I8" i="26"/>
  <c r="I19" i="26" s="1"/>
  <c r="J19" i="26" s="1"/>
  <c r="F8" i="26"/>
  <c r="F19" i="26" s="1"/>
  <c r="G19" i="26" s="1"/>
  <c r="C8" i="26"/>
  <c r="C19" i="26" s="1"/>
  <c r="D19" i="26" s="1"/>
  <c r="L40" i="28"/>
  <c r="L28" i="28" s="1"/>
  <c r="L39" i="28" s="1"/>
  <c r="I28" i="28"/>
  <c r="I38" i="28" s="1"/>
  <c r="F28" i="28"/>
  <c r="F39" i="28" s="1"/>
  <c r="C28" i="28"/>
  <c r="C38" i="28" s="1"/>
  <c r="L8" i="28"/>
  <c r="L19" i="28" s="1"/>
  <c r="I8" i="28"/>
  <c r="I19" i="28" s="1"/>
  <c r="F8" i="28"/>
  <c r="F19" i="28" s="1"/>
  <c r="C8" i="28"/>
  <c r="C19" i="28" s="1"/>
  <c r="K28" i="28"/>
  <c r="H39" i="22"/>
  <c r="E39" i="22"/>
  <c r="E38" i="22"/>
  <c r="B39" i="22"/>
  <c r="H19" i="22"/>
  <c r="E18" i="22"/>
  <c r="E19" i="22"/>
  <c r="B18" i="22"/>
  <c r="B19" i="22"/>
  <c r="M8" i="26" l="1"/>
  <c r="D8" i="26"/>
  <c r="G8" i="26"/>
  <c r="J8" i="26"/>
  <c r="K40" i="26"/>
  <c r="G28" i="28"/>
  <c r="M28" i="28"/>
  <c r="N28" i="28" s="1"/>
  <c r="M39" i="26"/>
  <c r="N39" i="26" s="1"/>
  <c r="C9" i="26"/>
  <c r="D9" i="26" s="1"/>
  <c r="F9" i="26"/>
  <c r="G9" i="26" s="1"/>
  <c r="I9" i="26"/>
  <c r="J9" i="26" s="1"/>
  <c r="L9" i="26"/>
  <c r="M9" i="26" s="1"/>
  <c r="C10" i="26"/>
  <c r="D10" i="26" s="1"/>
  <c r="F10" i="26"/>
  <c r="G10" i="26" s="1"/>
  <c r="I10" i="26"/>
  <c r="J10" i="26" s="1"/>
  <c r="L10" i="26"/>
  <c r="M10" i="26" s="1"/>
  <c r="C11" i="26"/>
  <c r="D11" i="26" s="1"/>
  <c r="F11" i="26"/>
  <c r="G11" i="26" s="1"/>
  <c r="I11" i="26"/>
  <c r="J11" i="26" s="1"/>
  <c r="L11" i="26"/>
  <c r="M11" i="26" s="1"/>
  <c r="C12" i="26"/>
  <c r="D12" i="26" s="1"/>
  <c r="F12" i="26"/>
  <c r="G12" i="26" s="1"/>
  <c r="I12" i="26"/>
  <c r="J12" i="26" s="1"/>
  <c r="L12" i="26"/>
  <c r="M12" i="26" s="1"/>
  <c r="C13" i="26"/>
  <c r="D13" i="26" s="1"/>
  <c r="F13" i="26"/>
  <c r="G13" i="26" s="1"/>
  <c r="I13" i="26"/>
  <c r="J13" i="26" s="1"/>
  <c r="L13" i="26"/>
  <c r="M13" i="26" s="1"/>
  <c r="C14" i="26"/>
  <c r="D14" i="26" s="1"/>
  <c r="F14" i="26"/>
  <c r="G14" i="26" s="1"/>
  <c r="I14" i="26"/>
  <c r="J14" i="26" s="1"/>
  <c r="L14" i="26"/>
  <c r="M14" i="26" s="1"/>
  <c r="C15" i="26"/>
  <c r="D15" i="26" s="1"/>
  <c r="F15" i="26"/>
  <c r="G15" i="26" s="1"/>
  <c r="I15" i="26"/>
  <c r="J15" i="26" s="1"/>
  <c r="L15" i="26"/>
  <c r="M15" i="26" s="1"/>
  <c r="C16" i="26"/>
  <c r="D16" i="26" s="1"/>
  <c r="F16" i="26"/>
  <c r="G16" i="26" s="1"/>
  <c r="I16" i="26"/>
  <c r="J16" i="26" s="1"/>
  <c r="L16" i="26"/>
  <c r="M16" i="26" s="1"/>
  <c r="C17" i="26"/>
  <c r="D17" i="26" s="1"/>
  <c r="F17" i="26"/>
  <c r="G17" i="26" s="1"/>
  <c r="I17" i="26"/>
  <c r="J17" i="26" s="1"/>
  <c r="L17" i="26"/>
  <c r="M17" i="26" s="1"/>
  <c r="C18" i="26"/>
  <c r="D18" i="26" s="1"/>
  <c r="F18" i="26"/>
  <c r="G18" i="26" s="1"/>
  <c r="I18" i="26"/>
  <c r="J18" i="26" s="1"/>
  <c r="L18" i="26"/>
  <c r="M18" i="26" s="1"/>
  <c r="M28" i="26"/>
  <c r="N28" i="26" s="1"/>
  <c r="C29" i="26"/>
  <c r="D29" i="26" s="1"/>
  <c r="F29" i="26"/>
  <c r="G29" i="26" s="1"/>
  <c r="I29" i="26"/>
  <c r="J29" i="26" s="1"/>
  <c r="C30" i="26"/>
  <c r="D30" i="26" s="1"/>
  <c r="F30" i="26"/>
  <c r="G30" i="26" s="1"/>
  <c r="I30" i="26"/>
  <c r="J30" i="26" s="1"/>
  <c r="C31" i="26"/>
  <c r="D31" i="26" s="1"/>
  <c r="F31" i="26"/>
  <c r="G31" i="26" s="1"/>
  <c r="I31" i="26"/>
  <c r="J31" i="26" s="1"/>
  <c r="C32" i="26"/>
  <c r="D32" i="26" s="1"/>
  <c r="F32" i="26"/>
  <c r="G32" i="26" s="1"/>
  <c r="I32" i="26"/>
  <c r="J32" i="26" s="1"/>
  <c r="C33" i="26"/>
  <c r="D33" i="26" s="1"/>
  <c r="F33" i="26"/>
  <c r="G33" i="26" s="1"/>
  <c r="I33" i="26"/>
  <c r="J33" i="26" s="1"/>
  <c r="C34" i="26"/>
  <c r="D34" i="26" s="1"/>
  <c r="F34" i="26"/>
  <c r="G34" i="26" s="1"/>
  <c r="I34" i="26"/>
  <c r="J34" i="26" s="1"/>
  <c r="C35" i="26"/>
  <c r="D35" i="26" s="1"/>
  <c r="F35" i="26"/>
  <c r="G35" i="26" s="1"/>
  <c r="I35" i="26"/>
  <c r="J35" i="26" s="1"/>
  <c r="C36" i="26"/>
  <c r="D36" i="26" s="1"/>
  <c r="F36" i="26"/>
  <c r="G36" i="26" s="1"/>
  <c r="I36" i="26"/>
  <c r="J36" i="26" s="1"/>
  <c r="C37" i="26"/>
  <c r="D37" i="26" s="1"/>
  <c r="F37" i="26"/>
  <c r="G37" i="26" s="1"/>
  <c r="I37" i="26"/>
  <c r="J37" i="26" s="1"/>
  <c r="C38" i="26"/>
  <c r="D38" i="26" s="1"/>
  <c r="F38" i="26"/>
  <c r="G38" i="26" s="1"/>
  <c r="I38" i="26"/>
  <c r="J38" i="26" s="1"/>
  <c r="C39" i="26"/>
  <c r="D39" i="26" s="1"/>
  <c r="F39" i="26"/>
  <c r="G39" i="26" s="1"/>
  <c r="I39" i="26"/>
  <c r="J39" i="26" s="1"/>
  <c r="L29" i="26"/>
  <c r="M29" i="26" s="1"/>
  <c r="N29" i="26" s="1"/>
  <c r="L30" i="26"/>
  <c r="M30" i="26" s="1"/>
  <c r="N30" i="26" s="1"/>
  <c r="L31" i="26"/>
  <c r="M31" i="26" s="1"/>
  <c r="N31" i="26" s="1"/>
  <c r="L32" i="26"/>
  <c r="M32" i="26" s="1"/>
  <c r="N32" i="26" s="1"/>
  <c r="L33" i="26"/>
  <c r="M33" i="26" s="1"/>
  <c r="N33" i="26" s="1"/>
  <c r="L34" i="26"/>
  <c r="M34" i="26" s="1"/>
  <c r="N34" i="26" s="1"/>
  <c r="L35" i="26"/>
  <c r="M35" i="26" s="1"/>
  <c r="N35" i="26" s="1"/>
  <c r="L36" i="26"/>
  <c r="M36" i="26" s="1"/>
  <c r="N36" i="26" s="1"/>
  <c r="L37" i="26"/>
  <c r="M37" i="26" s="1"/>
  <c r="N37" i="26" s="1"/>
  <c r="L38" i="26"/>
  <c r="M38" i="26" s="1"/>
  <c r="N38" i="26" s="1"/>
  <c r="D8" i="28"/>
  <c r="J8" i="28"/>
  <c r="F9" i="28"/>
  <c r="G9" i="28" s="1"/>
  <c r="L9" i="28"/>
  <c r="M9" i="28" s="1"/>
  <c r="F10" i="28"/>
  <c r="L10" i="28"/>
  <c r="F11" i="28"/>
  <c r="L11" i="28"/>
  <c r="F12" i="28"/>
  <c r="L12" i="28"/>
  <c r="F13" i="28"/>
  <c r="L13" i="28"/>
  <c r="F14" i="28"/>
  <c r="L14" i="28"/>
  <c r="F15" i="28"/>
  <c r="L15" i="28"/>
  <c r="F16" i="28"/>
  <c r="L16" i="28"/>
  <c r="F17" i="28"/>
  <c r="L17" i="28"/>
  <c r="F18" i="28"/>
  <c r="L18" i="28"/>
  <c r="D28" i="28"/>
  <c r="J28" i="28"/>
  <c r="C29" i="28"/>
  <c r="D29" i="28" s="1"/>
  <c r="I29" i="28"/>
  <c r="J29" i="28" s="1"/>
  <c r="F30" i="28"/>
  <c r="L30" i="28"/>
  <c r="C31" i="28"/>
  <c r="I31" i="28"/>
  <c r="F32" i="28"/>
  <c r="L32" i="28"/>
  <c r="C33" i="28"/>
  <c r="I33" i="28"/>
  <c r="F34" i="28"/>
  <c r="L34" i="28"/>
  <c r="C35" i="28"/>
  <c r="I35" i="28"/>
  <c r="F36" i="28"/>
  <c r="L36" i="28"/>
  <c r="C37" i="28"/>
  <c r="I37" i="28"/>
  <c r="F38" i="28"/>
  <c r="L38" i="28"/>
  <c r="C39" i="28"/>
  <c r="I39" i="28"/>
  <c r="G8" i="28"/>
  <c r="M8" i="28"/>
  <c r="C9" i="28"/>
  <c r="I9" i="28"/>
  <c r="J9" i="28" s="1"/>
  <c r="C10" i="28"/>
  <c r="I10" i="28"/>
  <c r="C11" i="28"/>
  <c r="I11" i="28"/>
  <c r="C12" i="28"/>
  <c r="I12" i="28"/>
  <c r="C13" i="28"/>
  <c r="I13" i="28"/>
  <c r="C14" i="28"/>
  <c r="I14" i="28"/>
  <c r="C15" i="28"/>
  <c r="I15" i="28"/>
  <c r="C16" i="28"/>
  <c r="I16" i="28"/>
  <c r="C17" i="28"/>
  <c r="I17" i="28"/>
  <c r="C18" i="28"/>
  <c r="I18" i="28"/>
  <c r="F29" i="28"/>
  <c r="L29" i="28"/>
  <c r="C30" i="28"/>
  <c r="I30" i="28"/>
  <c r="F31" i="28"/>
  <c r="L31" i="28"/>
  <c r="C32" i="28"/>
  <c r="I32" i="28"/>
  <c r="F33" i="28"/>
  <c r="L33" i="28"/>
  <c r="C34" i="28"/>
  <c r="I34" i="28"/>
  <c r="F35" i="28"/>
  <c r="L35" i="28"/>
  <c r="C36" i="28"/>
  <c r="I36" i="28"/>
  <c r="F37" i="28"/>
  <c r="L37" i="28"/>
  <c r="H38" i="22"/>
  <c r="H18" i="22"/>
  <c r="K17" i="22"/>
  <c r="G29" i="28" l="1"/>
  <c r="K29" i="28"/>
  <c r="M29" i="28" s="1"/>
  <c r="N29" i="28" s="1"/>
  <c r="D9" i="28"/>
  <c r="K11" i="28"/>
  <c r="M10" i="28"/>
  <c r="J10" i="28"/>
  <c r="G10" i="28"/>
  <c r="J30" i="28"/>
  <c r="D30" i="28"/>
  <c r="H37" i="22"/>
  <c r="E17" i="22"/>
  <c r="B17" i="22"/>
  <c r="B37" i="22"/>
  <c r="E37" i="22"/>
  <c r="D31" i="28" l="1"/>
  <c r="J31" i="28"/>
  <c r="G11" i="28"/>
  <c r="J11" i="28"/>
  <c r="K12" i="28"/>
  <c r="M11" i="28"/>
  <c r="K30" i="28"/>
  <c r="M30" i="28" s="1"/>
  <c r="N30" i="28" s="1"/>
  <c r="D10" i="28"/>
  <c r="G30" i="28"/>
  <c r="E16" i="22"/>
  <c r="K31" i="28" l="1"/>
  <c r="M31" i="28" s="1"/>
  <c r="N31" i="28" s="1"/>
  <c r="D11" i="28"/>
  <c r="J32" i="28"/>
  <c r="D32" i="28"/>
  <c r="G31" i="28"/>
  <c r="K13" i="28"/>
  <c r="K14" i="28" s="1"/>
  <c r="M12" i="28"/>
  <c r="J12" i="28"/>
  <c r="G12" i="28"/>
  <c r="H16" i="22"/>
  <c r="B16" i="22"/>
  <c r="B36" i="22"/>
  <c r="E36" i="22"/>
  <c r="G13" i="28" l="1"/>
  <c r="J13" i="28"/>
  <c r="M13" i="28"/>
  <c r="G32" i="28"/>
  <c r="D33" i="28"/>
  <c r="J33" i="28"/>
  <c r="K32" i="28"/>
  <c r="M32" i="28" s="1"/>
  <c r="N32" i="28" s="1"/>
  <c r="D12" i="28"/>
  <c r="H36" i="22"/>
  <c r="K33" i="28" l="1"/>
  <c r="M33" i="28" s="1"/>
  <c r="N33" i="28" s="1"/>
  <c r="D13" i="28"/>
  <c r="J34" i="28"/>
  <c r="D34" i="28"/>
  <c r="G33" i="28"/>
  <c r="K15" i="28"/>
  <c r="K16" i="28" s="1"/>
  <c r="K17" i="28" s="1"/>
  <c r="K18" i="28" s="1"/>
  <c r="K19" i="28" s="1"/>
  <c r="M14" i="28"/>
  <c r="J14" i="28"/>
  <c r="G14" i="28"/>
  <c r="E15" i="22"/>
  <c r="B15" i="22"/>
  <c r="B35" i="22"/>
  <c r="H15" i="22"/>
  <c r="H35" i="22"/>
  <c r="G15" i="28" l="1"/>
  <c r="J15" i="28"/>
  <c r="M15" i="28"/>
  <c r="G34" i="28"/>
  <c r="E35" i="28"/>
  <c r="E36" i="28" s="1"/>
  <c r="E37" i="28" s="1"/>
  <c r="E38" i="28" s="1"/>
  <c r="E39" i="28" s="1"/>
  <c r="D35" i="28"/>
  <c r="J35" i="28"/>
  <c r="K34" i="28"/>
  <c r="M34" i="28" s="1"/>
  <c r="N34" i="28" s="1"/>
  <c r="D14" i="28"/>
  <c r="H34" i="22"/>
  <c r="E14" i="22"/>
  <c r="B14" i="22"/>
  <c r="B34" i="22"/>
  <c r="H14" i="22"/>
  <c r="E34" i="22"/>
  <c r="K35" i="28" l="1"/>
  <c r="M35" i="28" s="1"/>
  <c r="N35" i="28" s="1"/>
  <c r="D15" i="28"/>
  <c r="J36" i="28"/>
  <c r="D36" i="28"/>
  <c r="G35" i="28"/>
  <c r="M16" i="28"/>
  <c r="J16" i="28"/>
  <c r="G16" i="28"/>
  <c r="H33" i="22"/>
  <c r="E13" i="22"/>
  <c r="B13" i="22"/>
  <c r="B33" i="22"/>
  <c r="H13" i="22"/>
  <c r="E33" i="22"/>
  <c r="E12" i="22"/>
  <c r="B12" i="22"/>
  <c r="B32" i="22"/>
  <c r="E32" i="22"/>
  <c r="G17" i="28" l="1"/>
  <c r="J17" i="28"/>
  <c r="M17" i="28"/>
  <c r="G36" i="28"/>
  <c r="D37" i="28"/>
  <c r="J37" i="28"/>
  <c r="K36" i="28"/>
  <c r="M36" i="28" s="1"/>
  <c r="N36" i="28" s="1"/>
  <c r="D16" i="28"/>
  <c r="H32" i="22"/>
  <c r="H31" i="22"/>
  <c r="E11" i="22"/>
  <c r="B11" i="22"/>
  <c r="B31" i="22"/>
  <c r="E31" i="22"/>
  <c r="K37" i="28" l="1"/>
  <c r="M37" i="28" s="1"/>
  <c r="N37" i="28" s="1"/>
  <c r="D17" i="28"/>
  <c r="J38" i="28"/>
  <c r="D38" i="28"/>
  <c r="G37" i="28"/>
  <c r="M18" i="28"/>
  <c r="J18" i="28"/>
  <c r="G18" i="28"/>
  <c r="E30" i="22"/>
  <c r="E20" i="28" l="1"/>
  <c r="G19" i="28"/>
  <c r="H20" i="28"/>
  <c r="J19" i="28"/>
  <c r="K20" i="28"/>
  <c r="M19" i="28"/>
  <c r="G38" i="28"/>
  <c r="D39" i="28"/>
  <c r="B40" i="28"/>
  <c r="J39" i="28"/>
  <c r="H40" i="28"/>
  <c r="K38" i="28"/>
  <c r="M38" i="28" s="1"/>
  <c r="N38" i="28" s="1"/>
  <c r="D18" i="28"/>
  <c r="H10" i="22"/>
  <c r="K39" i="28" l="1"/>
  <c r="M39" i="28" s="1"/>
  <c r="N39" i="28" s="1"/>
  <c r="B20" i="28"/>
  <c r="D19" i="28"/>
  <c r="E40" i="28"/>
  <c r="G39" i="28"/>
  <c r="H30" i="22"/>
  <c r="E10" i="22"/>
  <c r="B10" i="22"/>
  <c r="B30" i="22"/>
  <c r="K10" i="22"/>
  <c r="H29" i="22"/>
  <c r="E9" i="22"/>
  <c r="B9" i="22"/>
  <c r="B29" i="22"/>
  <c r="K9" i="22"/>
  <c r="E29" i="22"/>
  <c r="H9" i="22"/>
  <c r="K40" i="28" l="1"/>
  <c r="H28" i="24"/>
  <c r="H29" i="24" s="1"/>
  <c r="H30" i="24" s="1"/>
  <c r="H31" i="24" s="1"/>
  <c r="H32" i="24" s="1"/>
  <c r="H33" i="24" s="1"/>
  <c r="H34" i="24" s="1"/>
  <c r="H35" i="24" s="1"/>
  <c r="H36" i="24" s="1"/>
  <c r="H37" i="24" s="1"/>
  <c r="H38" i="24" s="1"/>
  <c r="H39" i="24" s="1"/>
  <c r="E8" i="24"/>
  <c r="E9" i="24" s="1"/>
  <c r="E10" i="24" s="1"/>
  <c r="E11" i="24" s="1"/>
  <c r="E12" i="24" s="1"/>
  <c r="E13" i="24" s="1"/>
  <c r="E14" i="24" s="1"/>
  <c r="E15" i="24" s="1"/>
  <c r="E16" i="24" s="1"/>
  <c r="E17" i="24" s="1"/>
  <c r="E18" i="24" s="1"/>
  <c r="E19" i="24" s="1"/>
  <c r="B8" i="24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8" i="24"/>
  <c r="B29" i="24" s="1"/>
  <c r="B30" i="24" s="1"/>
  <c r="B31" i="24" s="1"/>
  <c r="B32" i="24" s="1"/>
  <c r="B33" i="24" s="1"/>
  <c r="B34" i="24" s="1"/>
  <c r="B35" i="24" s="1"/>
  <c r="B36" i="24" s="1"/>
  <c r="B37" i="24" s="1"/>
  <c r="K8" i="24"/>
  <c r="K9" i="24" s="1"/>
  <c r="K10" i="24" s="1"/>
  <c r="H8" i="24"/>
  <c r="H9" i="24" s="1"/>
  <c r="H10" i="24" s="1"/>
  <c r="H11" i="24" s="1"/>
  <c r="H12" i="24" s="1"/>
  <c r="H13" i="24" s="1"/>
  <c r="H14" i="24" s="1"/>
  <c r="H15" i="24" s="1"/>
  <c r="H16" i="24" s="1"/>
  <c r="E28" i="24"/>
  <c r="E29" i="24" s="1"/>
  <c r="E30" i="24" s="1"/>
  <c r="E31" i="24" s="1"/>
  <c r="E32" i="24" s="1"/>
  <c r="E33" i="24" s="1"/>
  <c r="E34" i="24" s="1"/>
  <c r="L40" i="24"/>
  <c r="L28" i="24" s="1"/>
  <c r="L38" i="24" s="1"/>
  <c r="I28" i="24"/>
  <c r="I39" i="24" s="1"/>
  <c r="J28" i="24"/>
  <c r="F28" i="24"/>
  <c r="F38" i="24" s="1"/>
  <c r="C28" i="24"/>
  <c r="C39" i="24" s="1"/>
  <c r="L8" i="24"/>
  <c r="L19" i="24" s="1"/>
  <c r="I8" i="24"/>
  <c r="I19" i="24" s="1"/>
  <c r="F8" i="24"/>
  <c r="F19" i="24" s="1"/>
  <c r="C8" i="24"/>
  <c r="C19" i="24" s="1"/>
  <c r="H17" i="24" l="1"/>
  <c r="H18" i="24" s="1"/>
  <c r="H19" i="24" s="1"/>
  <c r="K28" i="24"/>
  <c r="B38" i="24"/>
  <c r="B39" i="24" s="1"/>
  <c r="D28" i="24"/>
  <c r="J8" i="24"/>
  <c r="M28" i="24"/>
  <c r="N28" i="24" s="1"/>
  <c r="D8" i="24"/>
  <c r="F9" i="24"/>
  <c r="G9" i="24" s="1"/>
  <c r="L9" i="24"/>
  <c r="M9" i="24" s="1"/>
  <c r="F10" i="24"/>
  <c r="L10" i="24"/>
  <c r="F11" i="24"/>
  <c r="L11" i="24"/>
  <c r="F12" i="24"/>
  <c r="L12" i="24"/>
  <c r="F13" i="24"/>
  <c r="L13" i="24"/>
  <c r="F14" i="24"/>
  <c r="L14" i="24"/>
  <c r="F15" i="24"/>
  <c r="L15" i="24"/>
  <c r="F16" i="24"/>
  <c r="L16" i="24"/>
  <c r="F17" i="24"/>
  <c r="L17" i="24"/>
  <c r="F18" i="24"/>
  <c r="L18" i="24"/>
  <c r="G8" i="24"/>
  <c r="M8" i="24"/>
  <c r="C9" i="24"/>
  <c r="I9" i="24"/>
  <c r="C10" i="24"/>
  <c r="I10" i="24"/>
  <c r="C11" i="24"/>
  <c r="I11" i="24"/>
  <c r="C12" i="24"/>
  <c r="I12" i="24"/>
  <c r="C13" i="24"/>
  <c r="I13" i="24"/>
  <c r="C14" i="24"/>
  <c r="I14" i="24"/>
  <c r="C15" i="24"/>
  <c r="I15" i="24"/>
  <c r="C16" i="24"/>
  <c r="I16" i="24"/>
  <c r="C17" i="24"/>
  <c r="I17" i="24"/>
  <c r="C18" i="24"/>
  <c r="I18" i="24"/>
  <c r="G28" i="24"/>
  <c r="F29" i="24"/>
  <c r="G29" i="24" s="1"/>
  <c r="L29" i="24"/>
  <c r="C30" i="24"/>
  <c r="I30" i="24"/>
  <c r="F31" i="24"/>
  <c r="L31" i="24"/>
  <c r="C32" i="24"/>
  <c r="I32" i="24"/>
  <c r="F33" i="24"/>
  <c r="L33" i="24"/>
  <c r="C34" i="24"/>
  <c r="I34" i="24"/>
  <c r="F35" i="24"/>
  <c r="L35" i="24"/>
  <c r="C36" i="24"/>
  <c r="I36" i="24"/>
  <c r="F37" i="24"/>
  <c r="L37" i="24"/>
  <c r="C38" i="24"/>
  <c r="I38" i="24"/>
  <c r="F39" i="24"/>
  <c r="L39" i="24"/>
  <c r="C29" i="24"/>
  <c r="I29" i="24"/>
  <c r="F30" i="24"/>
  <c r="L30" i="24"/>
  <c r="C31" i="24"/>
  <c r="I31" i="24"/>
  <c r="F32" i="24"/>
  <c r="L32" i="24"/>
  <c r="C33" i="24"/>
  <c r="I33" i="24"/>
  <c r="F34" i="24"/>
  <c r="L34" i="24"/>
  <c r="C35" i="24"/>
  <c r="I35" i="24"/>
  <c r="F36" i="24"/>
  <c r="L36" i="24"/>
  <c r="C37" i="24"/>
  <c r="I37" i="24"/>
  <c r="H28" i="22"/>
  <c r="H40" i="22" s="1"/>
  <c r="E8" i="22"/>
  <c r="B8" i="22"/>
  <c r="B28" i="22"/>
  <c r="B40" i="22" s="1"/>
  <c r="K8" i="22"/>
  <c r="H8" i="22"/>
  <c r="E28" i="22"/>
  <c r="L40" i="22"/>
  <c r="L28" i="22" s="1"/>
  <c r="L38" i="22" s="1"/>
  <c r="I28" i="22"/>
  <c r="I39" i="22" s="1"/>
  <c r="F28" i="22"/>
  <c r="F38" i="22" s="1"/>
  <c r="C28" i="22"/>
  <c r="C39" i="22" s="1"/>
  <c r="K39" i="22"/>
  <c r="K38" i="22"/>
  <c r="K37" i="22"/>
  <c r="K36" i="22"/>
  <c r="K35" i="22"/>
  <c r="K33" i="22"/>
  <c r="K31" i="22"/>
  <c r="K30" i="22"/>
  <c r="K29" i="22"/>
  <c r="L8" i="22"/>
  <c r="L13" i="22" s="1"/>
  <c r="I8" i="22"/>
  <c r="F8" i="22"/>
  <c r="F12" i="22" s="1"/>
  <c r="C8" i="22"/>
  <c r="J9" i="24" l="1"/>
  <c r="K29" i="24"/>
  <c r="M29" i="24" s="1"/>
  <c r="N29" i="24" s="1"/>
  <c r="D9" i="24"/>
  <c r="J29" i="24"/>
  <c r="D29" i="24"/>
  <c r="G30" i="24"/>
  <c r="K11" i="24"/>
  <c r="M10" i="24"/>
  <c r="G10" i="24"/>
  <c r="B20" i="22"/>
  <c r="K28" i="22"/>
  <c r="D8" i="22"/>
  <c r="F9" i="22"/>
  <c r="C18" i="22"/>
  <c r="D18" i="22" s="1"/>
  <c r="C16" i="22"/>
  <c r="D16" i="22" s="1"/>
  <c r="C19" i="22"/>
  <c r="D19" i="22" s="1"/>
  <c r="C17" i="22"/>
  <c r="D17" i="22" s="1"/>
  <c r="C15" i="22"/>
  <c r="D15" i="22" s="1"/>
  <c r="E20" i="22"/>
  <c r="G8" i="22"/>
  <c r="I18" i="22"/>
  <c r="I16" i="22"/>
  <c r="I14" i="22"/>
  <c r="J14" i="22" s="1"/>
  <c r="I19" i="22"/>
  <c r="I17" i="22"/>
  <c r="I15" i="22"/>
  <c r="K20" i="22"/>
  <c r="M8" i="22"/>
  <c r="C9" i="22"/>
  <c r="G9" i="22"/>
  <c r="I9" i="22"/>
  <c r="J9" i="22" s="1"/>
  <c r="C10" i="22"/>
  <c r="D10" i="22" s="1"/>
  <c r="I10" i="22"/>
  <c r="C11" i="22"/>
  <c r="I11" i="22"/>
  <c r="J11" i="22" s="1"/>
  <c r="L11" i="22"/>
  <c r="M11" i="22" s="1"/>
  <c r="K32" i="22"/>
  <c r="C13" i="22"/>
  <c r="I13" i="22"/>
  <c r="J13" i="22" s="1"/>
  <c r="K34" i="22"/>
  <c r="F19" i="22"/>
  <c r="G19" i="22" s="1"/>
  <c r="F17" i="22"/>
  <c r="G17" i="22" s="1"/>
  <c r="F15" i="22"/>
  <c r="G15" i="22" s="1"/>
  <c r="F18" i="22"/>
  <c r="G18" i="22" s="1"/>
  <c r="F16" i="22"/>
  <c r="G16" i="22" s="1"/>
  <c r="F14" i="22"/>
  <c r="G14" i="22" s="1"/>
  <c r="H20" i="22"/>
  <c r="J19" i="22"/>
  <c r="J17" i="22"/>
  <c r="J15" i="22"/>
  <c r="J18" i="22"/>
  <c r="J16" i="22"/>
  <c r="J8" i="22"/>
  <c r="L19" i="22"/>
  <c r="M19" i="22" s="1"/>
  <c r="L18" i="22"/>
  <c r="M18" i="22" s="1"/>
  <c r="L16" i="22"/>
  <c r="M16" i="22" s="1"/>
  <c r="L14" i="22"/>
  <c r="M14" i="22" s="1"/>
  <c r="L17" i="22"/>
  <c r="M17" i="22" s="1"/>
  <c r="L15" i="22"/>
  <c r="M15" i="22" s="1"/>
  <c r="D9" i="22"/>
  <c r="L9" i="22"/>
  <c r="M9" i="22" s="1"/>
  <c r="F10" i="22"/>
  <c r="G10" i="22" s="1"/>
  <c r="J10" i="22"/>
  <c r="L10" i="22"/>
  <c r="M10" i="22" s="1"/>
  <c r="D11" i="22"/>
  <c r="F11" i="22"/>
  <c r="G11" i="22" s="1"/>
  <c r="C12" i="22"/>
  <c r="D12" i="22" s="1"/>
  <c r="G12" i="22"/>
  <c r="I12" i="22"/>
  <c r="J12" i="22" s="1"/>
  <c r="L12" i="22"/>
  <c r="M12" i="22" s="1"/>
  <c r="D13" i="22"/>
  <c r="F13" i="22"/>
  <c r="G13" i="22" s="1"/>
  <c r="M13" i="22"/>
  <c r="C14" i="22"/>
  <c r="D14" i="22" s="1"/>
  <c r="G28" i="22"/>
  <c r="F29" i="22"/>
  <c r="G29" i="22" s="1"/>
  <c r="L29" i="22"/>
  <c r="C30" i="22"/>
  <c r="D30" i="22" s="1"/>
  <c r="I30" i="22"/>
  <c r="J30" i="22" s="1"/>
  <c r="F31" i="22"/>
  <c r="L31" i="22"/>
  <c r="C32" i="22"/>
  <c r="D32" i="22" s="1"/>
  <c r="F32" i="22"/>
  <c r="G32" i="22" s="1"/>
  <c r="L32" i="22"/>
  <c r="C33" i="22"/>
  <c r="D33" i="22" s="1"/>
  <c r="I33" i="22"/>
  <c r="J33" i="22" s="1"/>
  <c r="F34" i="22"/>
  <c r="L34" i="22"/>
  <c r="C35" i="22"/>
  <c r="D35" i="22" s="1"/>
  <c r="F35" i="22"/>
  <c r="G35" i="22" s="1"/>
  <c r="L35" i="22"/>
  <c r="C36" i="22"/>
  <c r="I36" i="22"/>
  <c r="J36" i="22" s="1"/>
  <c r="F37" i="22"/>
  <c r="G37" i="22" s="1"/>
  <c r="L37" i="22"/>
  <c r="C38" i="22"/>
  <c r="G38" i="22"/>
  <c r="I38" i="22"/>
  <c r="J38" i="22" s="1"/>
  <c r="D39" i="22"/>
  <c r="F39" i="22"/>
  <c r="G39" i="22" s="1"/>
  <c r="J39" i="22"/>
  <c r="L39" i="22"/>
  <c r="E40" i="22"/>
  <c r="D28" i="22"/>
  <c r="J28" i="22"/>
  <c r="C29" i="22"/>
  <c r="D29" i="22" s="1"/>
  <c r="I29" i="22"/>
  <c r="J29" i="22" s="1"/>
  <c r="F30" i="22"/>
  <c r="G30" i="22" s="1"/>
  <c r="L30" i="22"/>
  <c r="C31" i="22"/>
  <c r="D31" i="22" s="1"/>
  <c r="G31" i="22"/>
  <c r="I31" i="22"/>
  <c r="J31" i="22" s="1"/>
  <c r="I32" i="22"/>
  <c r="J32" i="22" s="1"/>
  <c r="F33" i="22"/>
  <c r="G33" i="22" s="1"/>
  <c r="L33" i="22"/>
  <c r="C34" i="22"/>
  <c r="D34" i="22" s="1"/>
  <c r="G34" i="22"/>
  <c r="I34" i="22"/>
  <c r="J34" i="22" s="1"/>
  <c r="I35" i="22"/>
  <c r="J35" i="22" s="1"/>
  <c r="D36" i="22"/>
  <c r="F36" i="22"/>
  <c r="G36" i="22" s="1"/>
  <c r="L36" i="22"/>
  <c r="C37" i="22"/>
  <c r="D37" i="22" s="1"/>
  <c r="I37" i="22"/>
  <c r="J37" i="22" s="1"/>
  <c r="D38" i="22"/>
  <c r="H19" i="18"/>
  <c r="E19" i="18"/>
  <c r="B19" i="18"/>
  <c r="B39" i="18"/>
  <c r="K19" i="18"/>
  <c r="E39" i="18"/>
  <c r="G11" i="24" l="1"/>
  <c r="K12" i="24"/>
  <c r="M11" i="24"/>
  <c r="G31" i="24"/>
  <c r="D30" i="24"/>
  <c r="J30" i="24"/>
  <c r="K30" i="24"/>
  <c r="M30" i="24" s="1"/>
  <c r="N30" i="24" s="1"/>
  <c r="D10" i="24"/>
  <c r="J10" i="24"/>
  <c r="M39" i="22"/>
  <c r="N39" i="22" s="1"/>
  <c r="M37" i="22"/>
  <c r="N37" i="22" s="1"/>
  <c r="M35" i="22"/>
  <c r="N35" i="22" s="1"/>
  <c r="M34" i="22"/>
  <c r="N34" i="22" s="1"/>
  <c r="M32" i="22"/>
  <c r="N32" i="22" s="1"/>
  <c r="M31" i="22"/>
  <c r="N31" i="22" s="1"/>
  <c r="M29" i="22"/>
  <c r="N29" i="22" s="1"/>
  <c r="M38" i="22"/>
  <c r="N38" i="22" s="1"/>
  <c r="M36" i="22"/>
  <c r="N36" i="22" s="1"/>
  <c r="M33" i="22"/>
  <c r="N33" i="22" s="1"/>
  <c r="M30" i="22"/>
  <c r="N30" i="22" s="1"/>
  <c r="M28" i="22"/>
  <c r="N28" i="22" s="1"/>
  <c r="K40" i="22"/>
  <c r="H16" i="18"/>
  <c r="J11" i="24" l="1"/>
  <c r="K31" i="24"/>
  <c r="M31" i="24" s="1"/>
  <c r="N31" i="24" s="1"/>
  <c r="D11" i="24"/>
  <c r="J31" i="24"/>
  <c r="D31" i="24"/>
  <c r="G32" i="24"/>
  <c r="K13" i="24"/>
  <c r="M12" i="24"/>
  <c r="G12" i="24"/>
  <c r="H39" i="18"/>
  <c r="H17" i="18"/>
  <c r="G13" i="24" l="1"/>
  <c r="K14" i="24"/>
  <c r="M13" i="24"/>
  <c r="G33" i="24"/>
  <c r="D32" i="24"/>
  <c r="J32" i="24"/>
  <c r="K32" i="24"/>
  <c r="M32" i="24" s="1"/>
  <c r="N32" i="24" s="1"/>
  <c r="D12" i="24"/>
  <c r="J12" i="24"/>
  <c r="H38" i="18"/>
  <c r="E18" i="18"/>
  <c r="B18" i="18"/>
  <c r="B38" i="18"/>
  <c r="E38" i="18"/>
  <c r="H18" i="18"/>
  <c r="B17" i="18"/>
  <c r="J13" i="24" l="1"/>
  <c r="K33" i="24"/>
  <c r="M33" i="24" s="1"/>
  <c r="N33" i="24" s="1"/>
  <c r="D13" i="24"/>
  <c r="J33" i="24"/>
  <c r="D33" i="24"/>
  <c r="E35" i="24"/>
  <c r="E36" i="24" s="1"/>
  <c r="E37" i="24" s="1"/>
  <c r="E38" i="24" s="1"/>
  <c r="E39" i="24" s="1"/>
  <c r="G34" i="24"/>
  <c r="K15" i="24"/>
  <c r="M14" i="24"/>
  <c r="G14" i="24"/>
  <c r="H36" i="18"/>
  <c r="H37" i="18"/>
  <c r="E17" i="18"/>
  <c r="B37" i="18"/>
  <c r="E37" i="18"/>
  <c r="G15" i="24" l="1"/>
  <c r="K16" i="24"/>
  <c r="K17" i="24" s="1"/>
  <c r="M15" i="24"/>
  <c r="G35" i="24"/>
  <c r="D34" i="24"/>
  <c r="J34" i="24"/>
  <c r="K34" i="24"/>
  <c r="M34" i="24" s="1"/>
  <c r="N34" i="24" s="1"/>
  <c r="D14" i="24"/>
  <c r="J14" i="24"/>
  <c r="J15" i="24" l="1"/>
  <c r="K35" i="24"/>
  <c r="M35" i="24" s="1"/>
  <c r="N35" i="24" s="1"/>
  <c r="D15" i="24"/>
  <c r="J35" i="24"/>
  <c r="D35" i="24"/>
  <c r="G36" i="24"/>
  <c r="M16" i="24"/>
  <c r="G16" i="24"/>
  <c r="E36" i="18"/>
  <c r="F28" i="18"/>
  <c r="E16" i="18"/>
  <c r="B16" i="18"/>
  <c r="B36" i="18"/>
  <c r="H15" i="18"/>
  <c r="H35" i="18"/>
  <c r="E15" i="18"/>
  <c r="B15" i="18"/>
  <c r="B35" i="18"/>
  <c r="G17" i="24" l="1"/>
  <c r="K18" i="24"/>
  <c r="K19" i="24" s="1"/>
  <c r="M17" i="24"/>
  <c r="G37" i="24"/>
  <c r="D36" i="24"/>
  <c r="J36" i="24"/>
  <c r="K36" i="24"/>
  <c r="M36" i="24" s="1"/>
  <c r="N36" i="24" s="1"/>
  <c r="D16" i="24"/>
  <c r="J16" i="24"/>
  <c r="H14" i="18"/>
  <c r="J17" i="24" l="1"/>
  <c r="K37" i="24"/>
  <c r="M37" i="24" s="1"/>
  <c r="N37" i="24" s="1"/>
  <c r="D17" i="24"/>
  <c r="J37" i="24"/>
  <c r="D37" i="24"/>
  <c r="G38" i="24"/>
  <c r="M18" i="24"/>
  <c r="G18" i="24"/>
  <c r="H34" i="18"/>
  <c r="E14" i="18"/>
  <c r="B14" i="18"/>
  <c r="B34" i="18"/>
  <c r="E34" i="18"/>
  <c r="E20" i="24" l="1"/>
  <c r="G19" i="24"/>
  <c r="K20" i="24"/>
  <c r="M19" i="24"/>
  <c r="G39" i="24"/>
  <c r="E40" i="24"/>
  <c r="D38" i="24"/>
  <c r="J38" i="24"/>
  <c r="K38" i="24"/>
  <c r="M38" i="24" s="1"/>
  <c r="N38" i="24" s="1"/>
  <c r="D18" i="24"/>
  <c r="J18" i="24"/>
  <c r="H13" i="18"/>
  <c r="H40" i="24" l="1"/>
  <c r="J39" i="24"/>
  <c r="B40" i="24"/>
  <c r="D39" i="24"/>
  <c r="H20" i="24"/>
  <c r="J19" i="24"/>
  <c r="K39" i="24"/>
  <c r="M39" i="24" s="1"/>
  <c r="N39" i="24" s="1"/>
  <c r="B20" i="24"/>
  <c r="D19" i="24"/>
  <c r="E13" i="18"/>
  <c r="B13" i="18"/>
  <c r="B33" i="18"/>
  <c r="E33" i="18"/>
  <c r="K40" i="24" l="1"/>
  <c r="H33" i="18"/>
  <c r="H12" i="18" l="1"/>
  <c r="H32" i="18" l="1"/>
  <c r="B32" i="18"/>
  <c r="E12" i="18"/>
  <c r="B12" i="18"/>
  <c r="H11" i="18" l="1"/>
  <c r="B31" i="18" l="1"/>
  <c r="E31" i="18"/>
  <c r="E11" i="18"/>
  <c r="B11" i="18"/>
  <c r="L40" i="21" l="1"/>
  <c r="L28" i="21" s="1"/>
  <c r="L30" i="21" s="1"/>
  <c r="I28" i="21"/>
  <c r="I39" i="21" s="1"/>
  <c r="H28" i="21"/>
  <c r="H29" i="21" s="1"/>
  <c r="F28" i="21"/>
  <c r="F39" i="21" s="1"/>
  <c r="E28" i="21"/>
  <c r="E29" i="21" s="1"/>
  <c r="C28" i="21"/>
  <c r="C39" i="21" s="1"/>
  <c r="B28" i="21"/>
  <c r="B29" i="21" s="1"/>
  <c r="L8" i="21"/>
  <c r="L10" i="21" s="1"/>
  <c r="K8" i="21"/>
  <c r="K9" i="21" s="1"/>
  <c r="I8" i="21"/>
  <c r="I17" i="21" s="1"/>
  <c r="H8" i="21"/>
  <c r="H9" i="21" s="1"/>
  <c r="F8" i="21"/>
  <c r="E8" i="21"/>
  <c r="E9" i="21" s="1"/>
  <c r="C8" i="21"/>
  <c r="C17" i="21" s="1"/>
  <c r="B8" i="21"/>
  <c r="B9" i="21" s="1"/>
  <c r="H10" i="21" l="1"/>
  <c r="H30" i="21"/>
  <c r="B10" i="21"/>
  <c r="E10" i="21"/>
  <c r="K10" i="21"/>
  <c r="B30" i="21"/>
  <c r="E30" i="21"/>
  <c r="I29" i="21"/>
  <c r="J29" i="21" s="1"/>
  <c r="C29" i="21"/>
  <c r="D29" i="21" s="1"/>
  <c r="K29" i="21"/>
  <c r="F19" i="21"/>
  <c r="F18" i="21"/>
  <c r="F9" i="21"/>
  <c r="G9" i="21" s="1"/>
  <c r="L9" i="21"/>
  <c r="M9" i="21" s="1"/>
  <c r="F10" i="21"/>
  <c r="F11" i="21"/>
  <c r="I14" i="21"/>
  <c r="C15" i="21"/>
  <c r="I15" i="21"/>
  <c r="C16" i="21"/>
  <c r="I16" i="21"/>
  <c r="K28" i="21"/>
  <c r="D8" i="21"/>
  <c r="J8" i="21"/>
  <c r="L19" i="21"/>
  <c r="L18" i="21"/>
  <c r="L17" i="21"/>
  <c r="C19" i="21"/>
  <c r="C18" i="21"/>
  <c r="G8" i="21"/>
  <c r="I19" i="21"/>
  <c r="I18" i="21"/>
  <c r="M8" i="21"/>
  <c r="C9" i="21"/>
  <c r="D9" i="21" s="1"/>
  <c r="I9" i="21"/>
  <c r="J9" i="21" s="1"/>
  <c r="C10" i="21"/>
  <c r="I10" i="21"/>
  <c r="C11" i="21"/>
  <c r="I11" i="21"/>
  <c r="L11" i="21"/>
  <c r="C12" i="21"/>
  <c r="F12" i="21"/>
  <c r="I12" i="21"/>
  <c r="L12" i="21"/>
  <c r="C13" i="21"/>
  <c r="F13" i="21"/>
  <c r="I13" i="21"/>
  <c r="L13" i="21"/>
  <c r="C14" i="21"/>
  <c r="F14" i="21"/>
  <c r="L14" i="21"/>
  <c r="F15" i="21"/>
  <c r="L15" i="21"/>
  <c r="F16" i="21"/>
  <c r="L16" i="21"/>
  <c r="F17" i="21"/>
  <c r="G28" i="21"/>
  <c r="F29" i="21"/>
  <c r="G29" i="21" s="1"/>
  <c r="L29" i="21"/>
  <c r="C30" i="21"/>
  <c r="I30" i="21"/>
  <c r="F31" i="21"/>
  <c r="L31" i="21"/>
  <c r="L32" i="21"/>
  <c r="L33" i="21"/>
  <c r="L34" i="21"/>
  <c r="L35" i="21"/>
  <c r="L36" i="21"/>
  <c r="L37" i="21"/>
  <c r="L38" i="21"/>
  <c r="L39" i="21"/>
  <c r="D28" i="21"/>
  <c r="J28" i="21"/>
  <c r="F30" i="21"/>
  <c r="C31" i="21"/>
  <c r="I31" i="21"/>
  <c r="C32" i="21"/>
  <c r="F32" i="21"/>
  <c r="I32" i="21"/>
  <c r="C33" i="21"/>
  <c r="F33" i="21"/>
  <c r="I33" i="21"/>
  <c r="C34" i="21"/>
  <c r="F34" i="21"/>
  <c r="I34" i="21"/>
  <c r="C35" i="21"/>
  <c r="F35" i="21"/>
  <c r="I35" i="21"/>
  <c r="C36" i="21"/>
  <c r="F36" i="21"/>
  <c r="I36" i="21"/>
  <c r="C37" i="21"/>
  <c r="F37" i="21"/>
  <c r="I37" i="21"/>
  <c r="C38" i="21"/>
  <c r="F38" i="21"/>
  <c r="I38" i="21"/>
  <c r="L40" i="18"/>
  <c r="K39" i="18"/>
  <c r="K38" i="18"/>
  <c r="K37" i="18"/>
  <c r="K36" i="18"/>
  <c r="K35" i="18"/>
  <c r="K34" i="18"/>
  <c r="K33" i="18"/>
  <c r="K32" i="18"/>
  <c r="H31" i="18"/>
  <c r="K31" i="18" s="1"/>
  <c r="H30" i="18"/>
  <c r="E30" i="18"/>
  <c r="B30" i="18"/>
  <c r="H29" i="18"/>
  <c r="E29" i="18"/>
  <c r="B29" i="18"/>
  <c r="L28" i="18"/>
  <c r="L30" i="18" s="1"/>
  <c r="I28" i="18"/>
  <c r="I39" i="18" s="1"/>
  <c r="H28" i="18"/>
  <c r="F39" i="18"/>
  <c r="E28" i="18"/>
  <c r="C28" i="18"/>
  <c r="C39" i="18" s="1"/>
  <c r="B28" i="18"/>
  <c r="K10" i="18"/>
  <c r="H10" i="18"/>
  <c r="E10" i="18"/>
  <c r="B10" i="18"/>
  <c r="K9" i="18"/>
  <c r="H9" i="18"/>
  <c r="E9" i="18"/>
  <c r="B9" i="18"/>
  <c r="L8" i="18"/>
  <c r="L16" i="18" s="1"/>
  <c r="K8" i="18"/>
  <c r="I8" i="18"/>
  <c r="H8" i="18"/>
  <c r="F8" i="18"/>
  <c r="F17" i="18" s="1"/>
  <c r="E8" i="18"/>
  <c r="C8" i="18"/>
  <c r="B8" i="18"/>
  <c r="K30" i="21" l="1"/>
  <c r="M30" i="21" s="1"/>
  <c r="B40" i="18"/>
  <c r="H40" i="18"/>
  <c r="C29" i="18"/>
  <c r="D29" i="18" s="1"/>
  <c r="E31" i="21"/>
  <c r="G30" i="21"/>
  <c r="B31" i="21"/>
  <c r="D30" i="21"/>
  <c r="K11" i="21"/>
  <c r="M10" i="21"/>
  <c r="E11" i="21"/>
  <c r="G10" i="21"/>
  <c r="H31" i="21"/>
  <c r="J30" i="21"/>
  <c r="H11" i="21"/>
  <c r="J10" i="21"/>
  <c r="K29" i="18"/>
  <c r="K30" i="18"/>
  <c r="I29" i="18"/>
  <c r="M29" i="21"/>
  <c r="N29" i="21" s="1"/>
  <c r="B11" i="21"/>
  <c r="D10" i="21"/>
  <c r="N30" i="21"/>
  <c r="M28" i="21"/>
  <c r="N28" i="21" s="1"/>
  <c r="B20" i="18"/>
  <c r="K28" i="18"/>
  <c r="F9" i="18"/>
  <c r="G9" i="18" s="1"/>
  <c r="L9" i="18"/>
  <c r="M9" i="18" s="1"/>
  <c r="C19" i="18"/>
  <c r="D19" i="18" s="1"/>
  <c r="C18" i="18"/>
  <c r="D18" i="18" s="1"/>
  <c r="E20" i="18"/>
  <c r="G17" i="18"/>
  <c r="G8" i="18"/>
  <c r="I19" i="18"/>
  <c r="I18" i="18"/>
  <c r="I17" i="18"/>
  <c r="J17" i="18" s="1"/>
  <c r="K20" i="18"/>
  <c r="M16" i="18"/>
  <c r="M8" i="18"/>
  <c r="C9" i="18"/>
  <c r="D9" i="18" s="1"/>
  <c r="I9" i="18"/>
  <c r="J9" i="18" s="1"/>
  <c r="C10" i="18"/>
  <c r="D10" i="18" s="1"/>
  <c r="I10" i="18"/>
  <c r="J10" i="18" s="1"/>
  <c r="C11" i="18"/>
  <c r="I11" i="18"/>
  <c r="L11" i="18"/>
  <c r="M11" i="18" s="1"/>
  <c r="C12" i="18"/>
  <c r="D12" i="18" s="1"/>
  <c r="F12" i="18"/>
  <c r="I12" i="18"/>
  <c r="L12" i="18"/>
  <c r="M12" i="18" s="1"/>
  <c r="C13" i="18"/>
  <c r="D13" i="18" s="1"/>
  <c r="F13" i="18"/>
  <c r="I13" i="18"/>
  <c r="L13" i="18"/>
  <c r="M13" i="18" s="1"/>
  <c r="C14" i="18"/>
  <c r="D14" i="18" s="1"/>
  <c r="F14" i="18"/>
  <c r="G14" i="18" s="1"/>
  <c r="L14" i="18"/>
  <c r="M14" i="18" s="1"/>
  <c r="F15" i="18"/>
  <c r="G15" i="18" s="1"/>
  <c r="L15" i="18"/>
  <c r="M15" i="18" s="1"/>
  <c r="F16" i="18"/>
  <c r="G16" i="18" s="1"/>
  <c r="D8" i="18"/>
  <c r="F19" i="18"/>
  <c r="G19" i="18" s="1"/>
  <c r="F18" i="18"/>
  <c r="G18" i="18" s="1"/>
  <c r="H20" i="18"/>
  <c r="J19" i="18"/>
  <c r="J18" i="18"/>
  <c r="J8" i="18"/>
  <c r="L19" i="18"/>
  <c r="M19" i="18" s="1"/>
  <c r="L18" i="18"/>
  <c r="M18" i="18" s="1"/>
  <c r="L17" i="18"/>
  <c r="M17" i="18" s="1"/>
  <c r="F10" i="18"/>
  <c r="G10" i="18" s="1"/>
  <c r="L10" i="18"/>
  <c r="M10" i="18" s="1"/>
  <c r="D11" i="18"/>
  <c r="F11" i="18"/>
  <c r="G11" i="18" s="1"/>
  <c r="J11" i="18"/>
  <c r="G12" i="18"/>
  <c r="J12" i="18"/>
  <c r="G13" i="18"/>
  <c r="J13" i="18"/>
  <c r="I14" i="18"/>
  <c r="J14" i="18" s="1"/>
  <c r="C15" i="18"/>
  <c r="D15" i="18" s="1"/>
  <c r="I15" i="18"/>
  <c r="J15" i="18" s="1"/>
  <c r="C16" i="18"/>
  <c r="D16" i="18" s="1"/>
  <c r="I16" i="18"/>
  <c r="J16" i="18" s="1"/>
  <c r="C17" i="18"/>
  <c r="D17" i="18" s="1"/>
  <c r="G28" i="18"/>
  <c r="F29" i="18"/>
  <c r="G29" i="18" s="1"/>
  <c r="J29" i="18"/>
  <c r="L29" i="18"/>
  <c r="C30" i="18"/>
  <c r="D30" i="18" s="1"/>
  <c r="I30" i="18"/>
  <c r="J30" i="18" s="1"/>
  <c r="F31" i="18"/>
  <c r="G31" i="18" s="1"/>
  <c r="L31" i="18"/>
  <c r="L32" i="18"/>
  <c r="L33" i="18"/>
  <c r="L34" i="18"/>
  <c r="L35" i="18"/>
  <c r="L36" i="18"/>
  <c r="L37" i="18"/>
  <c r="L38" i="18"/>
  <c r="D39" i="18"/>
  <c r="G39" i="18"/>
  <c r="J39" i="18"/>
  <c r="L39" i="18"/>
  <c r="E40" i="18"/>
  <c r="D28" i="18"/>
  <c r="J28" i="18"/>
  <c r="F30" i="18"/>
  <c r="G30" i="18" s="1"/>
  <c r="C31" i="18"/>
  <c r="D31" i="18" s="1"/>
  <c r="I31" i="18"/>
  <c r="J31" i="18" s="1"/>
  <c r="C32" i="18"/>
  <c r="D32" i="18" s="1"/>
  <c r="F32" i="18"/>
  <c r="G32" i="18" s="1"/>
  <c r="I32" i="18"/>
  <c r="J32" i="18" s="1"/>
  <c r="C33" i="18"/>
  <c r="D33" i="18" s="1"/>
  <c r="F33" i="18"/>
  <c r="G33" i="18" s="1"/>
  <c r="I33" i="18"/>
  <c r="J33" i="18" s="1"/>
  <c r="C34" i="18"/>
  <c r="D34" i="18" s="1"/>
  <c r="F34" i="18"/>
  <c r="G34" i="18" s="1"/>
  <c r="I34" i="18"/>
  <c r="J34" i="18" s="1"/>
  <c r="C35" i="18"/>
  <c r="D35" i="18" s="1"/>
  <c r="F35" i="18"/>
  <c r="G35" i="18" s="1"/>
  <c r="I35" i="18"/>
  <c r="J35" i="18" s="1"/>
  <c r="C36" i="18"/>
  <c r="D36" i="18" s="1"/>
  <c r="F36" i="18"/>
  <c r="G36" i="18" s="1"/>
  <c r="I36" i="18"/>
  <c r="J36" i="18" s="1"/>
  <c r="C37" i="18"/>
  <c r="D37" i="18" s="1"/>
  <c r="F37" i="18"/>
  <c r="G37" i="18" s="1"/>
  <c r="I37" i="18"/>
  <c r="J37" i="18" s="1"/>
  <c r="C38" i="18"/>
  <c r="D38" i="18" s="1"/>
  <c r="F38" i="18"/>
  <c r="G38" i="18" s="1"/>
  <c r="I38" i="18"/>
  <c r="J38" i="18" s="1"/>
  <c r="B12" i="21" l="1"/>
  <c r="D11" i="21"/>
  <c r="K31" i="21"/>
  <c r="M31" i="21" s="1"/>
  <c r="N31" i="21" s="1"/>
  <c r="H12" i="21"/>
  <c r="J11" i="21"/>
  <c r="H32" i="21"/>
  <c r="J31" i="21"/>
  <c r="E12" i="21"/>
  <c r="G11" i="21"/>
  <c r="M11" i="21"/>
  <c r="K12" i="21"/>
  <c r="B32" i="21"/>
  <c r="D31" i="21"/>
  <c r="G31" i="21"/>
  <c r="E32" i="21"/>
  <c r="K40" i="18"/>
  <c r="M39" i="18"/>
  <c r="N39" i="18" s="1"/>
  <c r="M38" i="18"/>
  <c r="N38" i="18" s="1"/>
  <c r="M37" i="18"/>
  <c r="N37" i="18" s="1"/>
  <c r="M36" i="18"/>
  <c r="N36" i="18" s="1"/>
  <c r="M35" i="18"/>
  <c r="N35" i="18" s="1"/>
  <c r="M34" i="18"/>
  <c r="N34" i="18" s="1"/>
  <c r="M33" i="18"/>
  <c r="N33" i="18" s="1"/>
  <c r="M32" i="18"/>
  <c r="N32" i="18" s="1"/>
  <c r="M31" i="18"/>
  <c r="N31" i="18" s="1"/>
  <c r="M29" i="18"/>
  <c r="N29" i="18" s="1"/>
  <c r="M30" i="18"/>
  <c r="N30" i="18" s="1"/>
  <c r="M28" i="18"/>
  <c r="N28" i="18" s="1"/>
  <c r="B33" i="21" l="1"/>
  <c r="D32" i="21"/>
  <c r="E13" i="21"/>
  <c r="G12" i="21"/>
  <c r="H33" i="21"/>
  <c r="J32" i="21"/>
  <c r="H13" i="21"/>
  <c r="J12" i="21"/>
  <c r="G32" i="21"/>
  <c r="E33" i="21"/>
  <c r="K13" i="21"/>
  <c r="M12" i="21"/>
  <c r="B13" i="21"/>
  <c r="D12" i="21"/>
  <c r="K32" i="21"/>
  <c r="M32" i="21" s="1"/>
  <c r="N32" i="21" s="1"/>
  <c r="B29" i="17"/>
  <c r="K9" i="17"/>
  <c r="H9" i="17"/>
  <c r="E34" i="21" l="1"/>
  <c r="G33" i="21"/>
  <c r="B14" i="21"/>
  <c r="D13" i="21"/>
  <c r="K33" i="21"/>
  <c r="M33" i="21" s="1"/>
  <c r="N33" i="21" s="1"/>
  <c r="M13" i="21"/>
  <c r="K14" i="21"/>
  <c r="H14" i="21"/>
  <c r="J13" i="21"/>
  <c r="H34" i="21"/>
  <c r="J33" i="21"/>
  <c r="E14" i="21"/>
  <c r="G13" i="21"/>
  <c r="B34" i="21"/>
  <c r="D33" i="21"/>
  <c r="H10" i="17"/>
  <c r="K10" i="17"/>
  <c r="B30" i="17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E9" i="17"/>
  <c r="B9" i="17"/>
  <c r="H29" i="17"/>
  <c r="H30" i="17" s="1"/>
  <c r="H31" i="17" s="1"/>
  <c r="H32" i="17" s="1"/>
  <c r="H33" i="17" s="1"/>
  <c r="H34" i="17" s="1"/>
  <c r="E29" i="17"/>
  <c r="L40" i="17"/>
  <c r="L28" i="17" s="1"/>
  <c r="L39" i="17" s="1"/>
  <c r="F28" i="17"/>
  <c r="F39" i="17" s="1"/>
  <c r="C28" i="17"/>
  <c r="C35" i="17" s="1"/>
  <c r="L8" i="17"/>
  <c r="I8" i="17"/>
  <c r="I12" i="17" s="1"/>
  <c r="F8" i="17"/>
  <c r="C8" i="17"/>
  <c r="B35" i="21" l="1"/>
  <c r="D34" i="21"/>
  <c r="E15" i="21"/>
  <c r="G14" i="21"/>
  <c r="H35" i="21"/>
  <c r="J34" i="21"/>
  <c r="H15" i="21"/>
  <c r="J14" i="21"/>
  <c r="K15" i="21"/>
  <c r="M14" i="21"/>
  <c r="B15" i="21"/>
  <c r="D14" i="21"/>
  <c r="K34" i="21"/>
  <c r="M34" i="21" s="1"/>
  <c r="N34" i="21" s="1"/>
  <c r="G34" i="21"/>
  <c r="E35" i="21"/>
  <c r="H35" i="17"/>
  <c r="H36" i="17" s="1"/>
  <c r="H37" i="17" s="1"/>
  <c r="H38" i="17" s="1"/>
  <c r="H39" i="17" s="1"/>
  <c r="H40" i="17" s="1"/>
  <c r="J34" i="17"/>
  <c r="G28" i="17"/>
  <c r="H11" i="17"/>
  <c r="E30" i="17"/>
  <c r="B10" i="17"/>
  <c r="E10" i="17"/>
  <c r="K30" i="17" s="1"/>
  <c r="K11" i="17"/>
  <c r="C17" i="17"/>
  <c r="C15" i="17"/>
  <c r="C13" i="17"/>
  <c r="C19" i="17"/>
  <c r="C18" i="17"/>
  <c r="C16" i="17"/>
  <c r="C14" i="17"/>
  <c r="K28" i="17"/>
  <c r="D8" i="17"/>
  <c r="F19" i="17"/>
  <c r="F18" i="17"/>
  <c r="F16" i="17"/>
  <c r="F14" i="17"/>
  <c r="F17" i="17"/>
  <c r="F15" i="17"/>
  <c r="F13" i="17"/>
  <c r="J8" i="17"/>
  <c r="L19" i="17"/>
  <c r="L18" i="17"/>
  <c r="L17" i="17"/>
  <c r="L15" i="17"/>
  <c r="L13" i="17"/>
  <c r="L16" i="17"/>
  <c r="L14" i="17"/>
  <c r="L12" i="17"/>
  <c r="K29" i="17"/>
  <c r="F9" i="17"/>
  <c r="G9" i="17" s="1"/>
  <c r="L9" i="17"/>
  <c r="M9" i="17" s="1"/>
  <c r="F10" i="17"/>
  <c r="L10" i="17"/>
  <c r="M10" i="17" s="1"/>
  <c r="F11" i="17"/>
  <c r="C12" i="17"/>
  <c r="G8" i="17"/>
  <c r="I17" i="17"/>
  <c r="I15" i="17"/>
  <c r="I13" i="17"/>
  <c r="I19" i="17"/>
  <c r="I18" i="17"/>
  <c r="I16" i="17"/>
  <c r="I14" i="17"/>
  <c r="M8" i="17"/>
  <c r="C9" i="17"/>
  <c r="D9" i="17" s="1"/>
  <c r="I9" i="17"/>
  <c r="J9" i="17" s="1"/>
  <c r="C10" i="17"/>
  <c r="I10" i="17"/>
  <c r="J10" i="17" s="1"/>
  <c r="C11" i="17"/>
  <c r="I11" i="17"/>
  <c r="L11" i="17"/>
  <c r="F12" i="17"/>
  <c r="J28" i="17"/>
  <c r="F29" i="17"/>
  <c r="G29" i="17" s="1"/>
  <c r="J29" i="17"/>
  <c r="C30" i="17"/>
  <c r="L30" i="17"/>
  <c r="F31" i="17"/>
  <c r="L31" i="17"/>
  <c r="L32" i="17"/>
  <c r="F33" i="17"/>
  <c r="L33" i="17"/>
  <c r="F34" i="17"/>
  <c r="L34" i="17"/>
  <c r="D35" i="17"/>
  <c r="C36" i="17"/>
  <c r="C37" i="17"/>
  <c r="D37" i="17" s="1"/>
  <c r="C38" i="17"/>
  <c r="D38" i="17" s="1"/>
  <c r="C39" i="17"/>
  <c r="D28" i="17"/>
  <c r="C29" i="17"/>
  <c r="D29" i="17" s="1"/>
  <c r="L29" i="17"/>
  <c r="D30" i="17"/>
  <c r="F30" i="17"/>
  <c r="J30" i="17"/>
  <c r="C31" i="17"/>
  <c r="D31" i="17" s="1"/>
  <c r="J31" i="17"/>
  <c r="C32" i="17"/>
  <c r="D32" i="17" s="1"/>
  <c r="F32" i="17"/>
  <c r="J32" i="17"/>
  <c r="C33" i="17"/>
  <c r="D33" i="17" s="1"/>
  <c r="J33" i="17"/>
  <c r="C34" i="17"/>
  <c r="D34" i="17" s="1"/>
  <c r="F35" i="17"/>
  <c r="L35" i="17"/>
  <c r="D36" i="17"/>
  <c r="F36" i="17"/>
  <c r="L36" i="17"/>
  <c r="F37" i="17"/>
  <c r="L37" i="17"/>
  <c r="F38" i="17"/>
  <c r="L38" i="17"/>
  <c r="D39" i="17"/>
  <c r="L40" i="9"/>
  <c r="H39" i="9"/>
  <c r="E39" i="9"/>
  <c r="B39" i="9"/>
  <c r="H38" i="9"/>
  <c r="E38" i="9"/>
  <c r="B38" i="9"/>
  <c r="H37" i="9"/>
  <c r="E37" i="9"/>
  <c r="B37" i="9"/>
  <c r="H36" i="9"/>
  <c r="E36" i="9"/>
  <c r="B36" i="9"/>
  <c r="H35" i="9"/>
  <c r="B35" i="9"/>
  <c r="H34" i="9"/>
  <c r="E34" i="9"/>
  <c r="B34" i="9"/>
  <c r="H33" i="9"/>
  <c r="E33" i="9"/>
  <c r="B33" i="9"/>
  <c r="B32" i="9"/>
  <c r="H31" i="9"/>
  <c r="E31" i="9"/>
  <c r="B31" i="9"/>
  <c r="E30" i="9"/>
  <c r="B30" i="9"/>
  <c r="E29" i="9"/>
  <c r="B29" i="9"/>
  <c r="L28" i="9"/>
  <c r="L39" i="9" s="1"/>
  <c r="I28" i="9"/>
  <c r="I38" i="9" s="1"/>
  <c r="F28" i="9"/>
  <c r="F39" i="9" s="1"/>
  <c r="E28" i="9"/>
  <c r="C28" i="9"/>
  <c r="C38" i="9" s="1"/>
  <c r="B28" i="9"/>
  <c r="K19" i="9"/>
  <c r="H19" i="9"/>
  <c r="E19" i="9"/>
  <c r="B19" i="9"/>
  <c r="K18" i="9"/>
  <c r="H18" i="9"/>
  <c r="E18" i="9"/>
  <c r="B18" i="9"/>
  <c r="H17" i="9"/>
  <c r="E17" i="9"/>
  <c r="B17" i="9"/>
  <c r="H16" i="9"/>
  <c r="E16" i="9"/>
  <c r="B16" i="9"/>
  <c r="H15" i="9"/>
  <c r="E15" i="9"/>
  <c r="B15" i="9"/>
  <c r="H14" i="9"/>
  <c r="E14" i="9"/>
  <c r="B14" i="9"/>
  <c r="H13" i="9"/>
  <c r="E13" i="9"/>
  <c r="B13" i="9"/>
  <c r="H12" i="9"/>
  <c r="E12" i="9"/>
  <c r="B12" i="9"/>
  <c r="H11" i="9"/>
  <c r="E11" i="9"/>
  <c r="B11" i="9"/>
  <c r="K10" i="9"/>
  <c r="H10" i="9"/>
  <c r="E10" i="9"/>
  <c r="B10" i="9"/>
  <c r="K9" i="9"/>
  <c r="H9" i="9"/>
  <c r="E9" i="9"/>
  <c r="B9" i="9"/>
  <c r="L8" i="9"/>
  <c r="L16" i="9" s="1"/>
  <c r="K8" i="9"/>
  <c r="I8" i="9"/>
  <c r="I19" i="9" s="1"/>
  <c r="H8" i="9"/>
  <c r="F8" i="9"/>
  <c r="F17" i="9" s="1"/>
  <c r="E8" i="9"/>
  <c r="C8" i="9"/>
  <c r="C19" i="9" s="1"/>
  <c r="B8" i="9"/>
  <c r="J39" i="17" l="1"/>
  <c r="J37" i="17"/>
  <c r="J35" i="17"/>
  <c r="K32" i="9"/>
  <c r="K36" i="9"/>
  <c r="E40" i="9"/>
  <c r="J38" i="17"/>
  <c r="J36" i="17"/>
  <c r="K34" i="9"/>
  <c r="K38" i="9"/>
  <c r="K39" i="9"/>
  <c r="E36" i="21"/>
  <c r="G35" i="21"/>
  <c r="B16" i="21"/>
  <c r="D15" i="21"/>
  <c r="K35" i="21"/>
  <c r="M35" i="21" s="1"/>
  <c r="N35" i="21" s="1"/>
  <c r="M15" i="21"/>
  <c r="K16" i="21"/>
  <c r="H16" i="21"/>
  <c r="J15" i="21"/>
  <c r="H36" i="21"/>
  <c r="J35" i="21"/>
  <c r="E16" i="21"/>
  <c r="G15" i="21"/>
  <c r="B36" i="21"/>
  <c r="D35" i="21"/>
  <c r="M11" i="17"/>
  <c r="K12" i="17"/>
  <c r="D10" i="17"/>
  <c r="B11" i="17"/>
  <c r="G10" i="17"/>
  <c r="E11" i="17"/>
  <c r="G30" i="17"/>
  <c r="E31" i="17"/>
  <c r="J11" i="17"/>
  <c r="H12" i="17"/>
  <c r="M30" i="17"/>
  <c r="M28" i="17"/>
  <c r="M29" i="17"/>
  <c r="E20" i="9"/>
  <c r="K20" i="9"/>
  <c r="K29" i="9"/>
  <c r="K30" i="9"/>
  <c r="K31" i="9"/>
  <c r="K33" i="9"/>
  <c r="K35" i="9"/>
  <c r="K37" i="9"/>
  <c r="G8" i="9"/>
  <c r="M8" i="9"/>
  <c r="C9" i="9"/>
  <c r="I9" i="9"/>
  <c r="C10" i="9"/>
  <c r="D10" i="9" s="1"/>
  <c r="I10" i="9"/>
  <c r="C11" i="9"/>
  <c r="I11" i="9"/>
  <c r="L11" i="9"/>
  <c r="M11" i="9" s="1"/>
  <c r="F12" i="9"/>
  <c r="C13" i="9"/>
  <c r="I13" i="9"/>
  <c r="L13" i="9"/>
  <c r="M13" i="9" s="1"/>
  <c r="F14" i="9"/>
  <c r="C15" i="9"/>
  <c r="I15" i="9"/>
  <c r="J15" i="9" s="1"/>
  <c r="L15" i="9"/>
  <c r="M15" i="9" s="1"/>
  <c r="F16" i="9"/>
  <c r="M16" i="9"/>
  <c r="C17" i="9"/>
  <c r="D17" i="9" s="1"/>
  <c r="G17" i="9"/>
  <c r="I17" i="9"/>
  <c r="J17" i="9" s="1"/>
  <c r="L17" i="9"/>
  <c r="F18" i="9"/>
  <c r="G18" i="9" s="1"/>
  <c r="L18" i="9"/>
  <c r="M18" i="9" s="1"/>
  <c r="D19" i="9"/>
  <c r="F19" i="9"/>
  <c r="J19" i="9"/>
  <c r="L19" i="9"/>
  <c r="M19" i="9" s="1"/>
  <c r="B20" i="9"/>
  <c r="H20" i="9"/>
  <c r="D28" i="9"/>
  <c r="K28" i="9"/>
  <c r="F29" i="9"/>
  <c r="I29" i="9"/>
  <c r="J29" i="9" s="1"/>
  <c r="F30" i="9"/>
  <c r="G30" i="9" s="1"/>
  <c r="I30" i="9"/>
  <c r="J30" i="9" s="1"/>
  <c r="F31" i="9"/>
  <c r="L31" i="9"/>
  <c r="C32" i="9"/>
  <c r="F32" i="9"/>
  <c r="G32" i="9" s="1"/>
  <c r="I32" i="9"/>
  <c r="F33" i="9"/>
  <c r="L33" i="9"/>
  <c r="C34" i="9"/>
  <c r="D34" i="9" s="1"/>
  <c r="I34" i="9"/>
  <c r="I35" i="9"/>
  <c r="F36" i="9"/>
  <c r="L36" i="9"/>
  <c r="C37" i="9"/>
  <c r="I37" i="9"/>
  <c r="D38" i="9"/>
  <c r="F38" i="9"/>
  <c r="G38" i="9" s="1"/>
  <c r="J38" i="9"/>
  <c r="L38" i="9"/>
  <c r="C39" i="9"/>
  <c r="D39" i="9" s="1"/>
  <c r="G39" i="9"/>
  <c r="I39" i="9"/>
  <c r="J39" i="9" s="1"/>
  <c r="B40" i="9"/>
  <c r="H40" i="9"/>
  <c r="D8" i="9"/>
  <c r="J8" i="9"/>
  <c r="D9" i="9"/>
  <c r="F9" i="9"/>
  <c r="G9" i="9" s="1"/>
  <c r="J9" i="9"/>
  <c r="L9" i="9"/>
  <c r="M9" i="9" s="1"/>
  <c r="F10" i="9"/>
  <c r="G10" i="9" s="1"/>
  <c r="J10" i="9"/>
  <c r="L10" i="9"/>
  <c r="M10" i="9" s="1"/>
  <c r="D11" i="9"/>
  <c r="F11" i="9"/>
  <c r="G11" i="9" s="1"/>
  <c r="J11" i="9"/>
  <c r="C12" i="9"/>
  <c r="D12" i="9" s="1"/>
  <c r="G12" i="9"/>
  <c r="I12" i="9"/>
  <c r="J12" i="9" s="1"/>
  <c r="L12" i="9"/>
  <c r="M12" i="9" s="1"/>
  <c r="D13" i="9"/>
  <c r="F13" i="9"/>
  <c r="G13" i="9" s="1"/>
  <c r="J13" i="9"/>
  <c r="C14" i="9"/>
  <c r="D14" i="9" s="1"/>
  <c r="G14" i="9"/>
  <c r="I14" i="9"/>
  <c r="J14" i="9" s="1"/>
  <c r="L14" i="9"/>
  <c r="M14" i="9" s="1"/>
  <c r="D15" i="9"/>
  <c r="F15" i="9"/>
  <c r="G15" i="9" s="1"/>
  <c r="C16" i="9"/>
  <c r="D16" i="9" s="1"/>
  <c r="G16" i="9"/>
  <c r="I16" i="9"/>
  <c r="J16" i="9" s="1"/>
  <c r="M17" i="9"/>
  <c r="C18" i="9"/>
  <c r="D18" i="9" s="1"/>
  <c r="I18" i="9"/>
  <c r="J18" i="9" s="1"/>
  <c r="G19" i="9"/>
  <c r="G28" i="9"/>
  <c r="J28" i="9"/>
  <c r="C29" i="9"/>
  <c r="D29" i="9" s="1"/>
  <c r="G29" i="9"/>
  <c r="L29" i="9"/>
  <c r="C30" i="9"/>
  <c r="D30" i="9" s="1"/>
  <c r="L30" i="9"/>
  <c r="C31" i="9"/>
  <c r="D31" i="9" s="1"/>
  <c r="G31" i="9"/>
  <c r="I31" i="9"/>
  <c r="J31" i="9" s="1"/>
  <c r="D32" i="9"/>
  <c r="J32" i="9"/>
  <c r="L32" i="9"/>
  <c r="C33" i="9"/>
  <c r="D33" i="9" s="1"/>
  <c r="G33" i="9"/>
  <c r="I33" i="9"/>
  <c r="J33" i="9" s="1"/>
  <c r="F34" i="9"/>
  <c r="G34" i="9" s="1"/>
  <c r="J34" i="9"/>
  <c r="L34" i="9"/>
  <c r="C35" i="9"/>
  <c r="D35" i="9" s="1"/>
  <c r="F35" i="9"/>
  <c r="G35" i="9" s="1"/>
  <c r="J35" i="9"/>
  <c r="L35" i="9"/>
  <c r="C36" i="9"/>
  <c r="D36" i="9" s="1"/>
  <c r="G36" i="9"/>
  <c r="I36" i="9"/>
  <c r="J36" i="9" s="1"/>
  <c r="D37" i="9"/>
  <c r="F37" i="9"/>
  <c r="G37" i="9" s="1"/>
  <c r="J37" i="9"/>
  <c r="L37" i="9"/>
  <c r="B37" i="21" l="1"/>
  <c r="D36" i="21"/>
  <c r="E17" i="21"/>
  <c r="G16" i="21"/>
  <c r="H37" i="21"/>
  <c r="J36" i="21"/>
  <c r="H17" i="21"/>
  <c r="J16" i="21"/>
  <c r="K17" i="21"/>
  <c r="M16" i="21"/>
  <c r="B17" i="21"/>
  <c r="D16" i="21"/>
  <c r="K36" i="21"/>
  <c r="M36" i="21" s="1"/>
  <c r="N36" i="21" s="1"/>
  <c r="E37" i="21"/>
  <c r="G36" i="21"/>
  <c r="J12" i="17"/>
  <c r="H13" i="17"/>
  <c r="G31" i="17"/>
  <c r="E32" i="17"/>
  <c r="E12" i="17"/>
  <c r="G11" i="17"/>
  <c r="B12" i="17"/>
  <c r="D11" i="17"/>
  <c r="K31" i="17"/>
  <c r="K13" i="17"/>
  <c r="M12" i="17"/>
  <c r="K40" i="9"/>
  <c r="M38" i="9"/>
  <c r="M36" i="9"/>
  <c r="M33" i="9"/>
  <c r="M31" i="9"/>
  <c r="M39" i="9"/>
  <c r="M37" i="9"/>
  <c r="M35" i="9"/>
  <c r="M34" i="9"/>
  <c r="M32" i="9"/>
  <c r="M30" i="9"/>
  <c r="M29" i="9"/>
  <c r="M28" i="9"/>
  <c r="E38" i="21" l="1"/>
  <c r="G37" i="21"/>
  <c r="B18" i="21"/>
  <c r="D17" i="21"/>
  <c r="K37" i="21"/>
  <c r="M37" i="21" s="1"/>
  <c r="N37" i="21" s="1"/>
  <c r="M17" i="21"/>
  <c r="K18" i="21"/>
  <c r="H18" i="21"/>
  <c r="J17" i="21"/>
  <c r="H38" i="21"/>
  <c r="J37" i="21"/>
  <c r="E18" i="21"/>
  <c r="G17" i="21"/>
  <c r="B38" i="21"/>
  <c r="D37" i="21"/>
  <c r="M13" i="17"/>
  <c r="K14" i="17"/>
  <c r="G32" i="17"/>
  <c r="E33" i="17"/>
  <c r="J13" i="17"/>
  <c r="H14" i="17"/>
  <c r="M31" i="17"/>
  <c r="D12" i="17"/>
  <c r="B13" i="17"/>
  <c r="K32" i="17"/>
  <c r="G12" i="17"/>
  <c r="E13" i="17"/>
  <c r="B39" i="21" l="1"/>
  <c r="D38" i="21"/>
  <c r="E19" i="21"/>
  <c r="G18" i="21"/>
  <c r="H39" i="21"/>
  <c r="J38" i="21"/>
  <c r="H19" i="21"/>
  <c r="J18" i="21"/>
  <c r="K19" i="21"/>
  <c r="M18" i="21"/>
  <c r="B19" i="21"/>
  <c r="D18" i="21"/>
  <c r="K38" i="21"/>
  <c r="M38" i="21" s="1"/>
  <c r="N38" i="21" s="1"/>
  <c r="E39" i="21"/>
  <c r="G38" i="21"/>
  <c r="K33" i="17"/>
  <c r="M33" i="17" s="1"/>
  <c r="E14" i="17"/>
  <c r="G13" i="17"/>
  <c r="M32" i="17"/>
  <c r="H15" i="17"/>
  <c r="J14" i="17"/>
  <c r="G33" i="17"/>
  <c r="E34" i="17"/>
  <c r="K15" i="17"/>
  <c r="M14" i="17"/>
  <c r="B14" i="17"/>
  <c r="D13" i="17"/>
  <c r="E40" i="21" l="1"/>
  <c r="G39" i="21"/>
  <c r="B20" i="21"/>
  <c r="D19" i="21"/>
  <c r="K39" i="21"/>
  <c r="M39" i="21" s="1"/>
  <c r="N39" i="21" s="1"/>
  <c r="M19" i="21"/>
  <c r="K20" i="21"/>
  <c r="H20" i="21"/>
  <c r="J19" i="21"/>
  <c r="H40" i="21"/>
  <c r="J39" i="21"/>
  <c r="E20" i="21"/>
  <c r="G19" i="21"/>
  <c r="B40" i="21"/>
  <c r="D39" i="21"/>
  <c r="G34" i="17"/>
  <c r="E35" i="17"/>
  <c r="D14" i="17"/>
  <c r="B15" i="17"/>
  <c r="K34" i="17"/>
  <c r="M15" i="17"/>
  <c r="K16" i="17"/>
  <c r="J15" i="17"/>
  <c r="H16" i="17"/>
  <c r="G14" i="17"/>
  <c r="E15" i="17"/>
  <c r="K40" i="21" l="1"/>
  <c r="B16" i="17"/>
  <c r="D15" i="17"/>
  <c r="K35" i="17"/>
  <c r="M35" i="17" s="1"/>
  <c r="G35" i="17"/>
  <c r="E36" i="17"/>
  <c r="J16" i="17"/>
  <c r="H17" i="17"/>
  <c r="K17" i="17"/>
  <c r="M16" i="17"/>
  <c r="E16" i="17"/>
  <c r="G15" i="17"/>
  <c r="M34" i="17"/>
  <c r="G16" i="17" l="1"/>
  <c r="E17" i="17"/>
  <c r="M17" i="17"/>
  <c r="K18" i="17"/>
  <c r="H18" i="17"/>
  <c r="J17" i="17"/>
  <c r="G36" i="17"/>
  <c r="E37" i="17"/>
  <c r="D16" i="17"/>
  <c r="B17" i="17"/>
  <c r="K36" i="17"/>
  <c r="M36" i="17" l="1"/>
  <c r="G37" i="17"/>
  <c r="E38" i="17"/>
  <c r="K19" i="17"/>
  <c r="M18" i="17"/>
  <c r="E18" i="17"/>
  <c r="G17" i="17"/>
  <c r="B18" i="17"/>
  <c r="D17" i="17"/>
  <c r="K37" i="17"/>
  <c r="M37" i="17" s="1"/>
  <c r="H19" i="17"/>
  <c r="J18" i="17"/>
  <c r="M19" i="17" l="1"/>
  <c r="K20" i="17"/>
  <c r="J19" i="17"/>
  <c r="H20" i="17"/>
  <c r="G38" i="17"/>
  <c r="E39" i="17"/>
  <c r="E40" i="17" s="1"/>
  <c r="D18" i="17"/>
  <c r="B19" i="17"/>
  <c r="B20" i="17" s="1"/>
  <c r="K38" i="17"/>
  <c r="G18" i="17"/>
  <c r="E19" i="17"/>
  <c r="G19" i="17" l="1"/>
  <c r="E20" i="17"/>
  <c r="D19" i="17"/>
  <c r="K39" i="17"/>
  <c r="M39" i="17" s="1"/>
  <c r="G39" i="17"/>
  <c r="K40" i="17"/>
  <c r="M38" i="17"/>
  <c r="H30" i="102"/>
  <c r="J30" i="102" s="1"/>
  <c r="K30" i="102" s="1"/>
  <c r="H29" i="102"/>
  <c r="J29" i="102" s="1"/>
  <c r="K29" i="102" s="1"/>
  <c r="G29" i="102"/>
  <c r="G30" i="102"/>
  <c r="G31" i="102"/>
  <c r="H31" i="102" l="1"/>
  <c r="J31" i="102" s="1"/>
  <c r="K31" i="102" s="1"/>
  <c r="G32" i="102" l="1"/>
  <c r="H32" i="102"/>
  <c r="J32" i="102" s="1"/>
  <c r="K32" i="102" s="1"/>
  <c r="H33" i="102" l="1"/>
  <c r="J33" i="102" s="1"/>
  <c r="K33" i="102" s="1"/>
  <c r="G33" i="102"/>
  <c r="G34" i="102" l="1"/>
  <c r="H34" i="102"/>
  <c r="J34" i="102" s="1"/>
  <c r="K34" i="102" s="1"/>
  <c r="G35" i="102" l="1"/>
  <c r="H35" i="102"/>
  <c r="J35" i="102" s="1"/>
  <c r="K35" i="102" s="1"/>
  <c r="H36" i="102" l="1"/>
  <c r="J36" i="102" s="1"/>
  <c r="K36" i="102" s="1"/>
  <c r="G36" i="102"/>
  <c r="G37" i="102" l="1"/>
  <c r="H37" i="102"/>
  <c r="J37" i="102" s="1"/>
  <c r="K37" i="102" s="1"/>
  <c r="G38" i="102" l="1"/>
  <c r="H38" i="102"/>
  <c r="J38" i="102" s="1"/>
  <c r="K38" i="102" s="1"/>
  <c r="E40" i="102" l="1"/>
  <c r="H40" i="102" s="1"/>
  <c r="H39" i="102"/>
  <c r="J39" i="102" s="1"/>
  <c r="K39" i="102" s="1"/>
  <c r="G39" i="10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Wegiel David</author>
  </authors>
  <commentList>
    <comment ref="F3" authorId="0" shapeId="0" xr:uid="{0B56373D-A937-45AD-986A-349D56D17DD6}">
      <text>
        <r>
          <rPr>
            <b/>
            <sz val="9"/>
            <color indexed="81"/>
            <rFont val="Tahoma"/>
            <family val="2"/>
            <charset val="238"/>
          </rPr>
          <t>sestavy z Ginisu vykazují divné hodnoty</t>
        </r>
      </text>
    </comment>
    <comment ref="Q6" authorId="0" shapeId="0" xr:uid="{00E4586D-7FBE-46DF-BA18-FB8362BEC271}">
      <text>
        <r>
          <rPr>
            <b/>
            <sz val="9"/>
            <color indexed="81"/>
            <rFont val="Tahoma"/>
            <family val="2"/>
            <charset val="238"/>
          </rPr>
          <t>v ginisu mylně naúčtován příjem z položky 1355 ve výši 8.588.108,86 Kč</t>
        </r>
      </text>
    </comment>
    <comment ref="Q14" authorId="0" shapeId="0" xr:uid="{9030C812-62EC-41F1-89C5-DCA2688E9706}">
      <text>
        <r>
          <rPr>
            <b/>
            <sz val="9"/>
            <color indexed="81"/>
            <rFont val="Tahoma"/>
            <family val="2"/>
            <charset val="238"/>
          </rPr>
          <t>v ginisu mylně naúčtován příjem z položky 1355 ve výši 8.588.108,86 Kč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Wegiel David</author>
  </authors>
  <commentList>
    <comment ref="H17" authorId="0" shapeId="0" xr:uid="{00000000-0006-0000-1000-000001000000}">
      <text>
        <r>
          <rPr>
            <b/>
            <sz val="9"/>
            <color indexed="81"/>
            <rFont val="Tahoma"/>
            <family val="2"/>
            <charset val="238"/>
          </rPr>
          <t>v ginisu mylně naúčtován příjem z položky 1355 ve výši 8.588.108,86 Kč</t>
        </r>
      </text>
    </comment>
    <comment ref="K40" authorId="0" shapeId="0" xr:uid="{00000000-0006-0000-1000-000002000000}">
      <text>
        <r>
          <rPr>
            <b/>
            <sz val="9"/>
            <color indexed="81"/>
            <rFont val="Tahoma"/>
            <family val="2"/>
            <charset val="238"/>
          </rPr>
          <t>v ginisu mylně naúčtován příjem z položky 1355 ve výši 8.588.108,86 Kč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Wegiel David</author>
  </authors>
  <commentList>
    <comment ref="H17" authorId="0" shapeId="0" xr:uid="{00000000-0006-0000-1200-000001000000}">
      <text>
        <r>
          <rPr>
            <b/>
            <sz val="9"/>
            <color indexed="81"/>
            <rFont val="Tahoma"/>
            <family val="2"/>
            <charset val="238"/>
          </rPr>
          <t>v ginisu mylně naúčtován příjem z položky 1355 ve výši 8.588.108,86 Kč</t>
        </r>
      </text>
    </comment>
    <comment ref="K40" authorId="0" shapeId="0" xr:uid="{00000000-0006-0000-1200-000002000000}">
      <text>
        <r>
          <rPr>
            <b/>
            <sz val="9"/>
            <color indexed="81"/>
            <rFont val="Tahoma"/>
            <family val="2"/>
            <charset val="238"/>
          </rPr>
          <t>v ginisu mylně naúčtován příjem z položky 1355 ve výši 8.588.108,86 Kč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Wegiel David</author>
  </authors>
  <commentList>
    <comment ref="H8" authorId="0" shapeId="0" xr:uid="{00000000-0006-0000-1C00-000001000000}">
      <text>
        <r>
          <rPr>
            <b/>
            <sz val="9"/>
            <color indexed="81"/>
            <rFont val="Tahoma"/>
            <family val="2"/>
            <charset val="238"/>
          </rPr>
          <t>RUD 2017 již položku pro obce neobsahuje, pouze dobíhají platby z konce roku 2016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Wegiel David</author>
  </authors>
  <commentList>
    <comment ref="H20" authorId="0" shapeId="0" xr:uid="{00000000-0006-0000-1E00-000001000000}">
      <text>
        <r>
          <rPr>
            <b/>
            <sz val="9"/>
            <color indexed="81"/>
            <rFont val="Tahoma"/>
            <family val="2"/>
            <charset val="238"/>
          </rPr>
          <t>RUD 2017 již položku pro obce neobsahuje, pouze dobíhají platby z konce roku 2016</t>
        </r>
      </text>
    </comment>
  </commentList>
</comments>
</file>

<file path=xl/sharedStrings.xml><?xml version="1.0" encoding="utf-8"?>
<sst xmlns="http://schemas.openxmlformats.org/spreadsheetml/2006/main" count="2344" uniqueCount="232">
  <si>
    <t>Daň z příjmů právnických osob</t>
  </si>
  <si>
    <t>Daň z přidané hodnoty</t>
  </si>
  <si>
    <t>měsíc</t>
  </si>
  <si>
    <t>2612-1111</t>
  </si>
  <si>
    <t>4634-1111</t>
  </si>
  <si>
    <t>1628-1112</t>
  </si>
  <si>
    <t>1652-1112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</si>
  <si>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</si>
  <si>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</si>
  <si>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</si>
  <si>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</si>
  <si>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</si>
  <si>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</si>
  <si>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</si>
  <si>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</si>
  <si>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</si>
  <si>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</si>
  <si>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</si>
  <si>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</si>
  <si>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</si>
  <si>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r>
      <t>daň z příjmů právnických osob -</t>
    </r>
    <r>
      <rPr>
        <b/>
        <i/>
        <sz val="8"/>
        <rFont val="Arial CE"/>
        <family val="2"/>
        <charset val="238"/>
      </rPr>
      <t xml:space="preserve"> sdílená daň</t>
    </r>
  </si>
  <si>
    <r>
      <t xml:space="preserve">daň z přidané hodnoty - </t>
    </r>
    <r>
      <rPr>
        <b/>
        <i/>
        <sz val="8"/>
        <rFont val="Arial CE"/>
        <family val="2"/>
        <charset val="238"/>
      </rPr>
      <t>sdílená daň</t>
    </r>
  </si>
  <si>
    <t>daně města celkem</t>
  </si>
  <si>
    <t>1660-1113</t>
  </si>
  <si>
    <t>641-1121</t>
  </si>
  <si>
    <t>1679-1211</t>
  </si>
  <si>
    <t>v Kč</t>
  </si>
  <si>
    <r>
      <t xml:space="preserve">daň z příjmů fyzických osob ze závislé činnosti a funkčních požitků - </t>
    </r>
    <r>
      <rPr>
        <b/>
        <i/>
        <sz val="8"/>
        <rFont val="Arial CE"/>
        <charset val="238"/>
      </rPr>
      <t>sdílená daň</t>
    </r>
  </si>
  <si>
    <r>
      <t xml:space="preserve">1,5 % celost. výnosu </t>
    </r>
    <r>
      <rPr>
        <sz val="8"/>
        <rFont val="Arial CE"/>
        <family val="2"/>
        <charset val="238"/>
      </rPr>
      <t>daně z příjmů FO - v poměru počtu zaměstn. Ostravy k celk. počtu zaměstn. ČR</t>
    </r>
  </si>
  <si>
    <r>
      <t xml:space="preserve">daň z příjmů fyzických osob ze samostatné výděl. činnosti - </t>
    </r>
    <r>
      <rPr>
        <b/>
        <i/>
        <sz val="8"/>
        <rFont val="Arial CE"/>
        <charset val="238"/>
      </rPr>
      <t>30% záloh patřící výlučně městu</t>
    </r>
  </si>
  <si>
    <r>
      <t xml:space="preserve">daň z příjmů fyzických osob ze samostatné výděl. činnosti - </t>
    </r>
    <r>
      <rPr>
        <b/>
        <i/>
        <sz val="8"/>
        <rFont val="Arial CE"/>
        <charset val="238"/>
      </rPr>
      <t>60% sdílené daně</t>
    </r>
  </si>
  <si>
    <t>podíl z ročního rozpočtu</t>
  </si>
  <si>
    <t>rozdíl proti ročnímu podílu</t>
  </si>
  <si>
    <r>
      <t xml:space="preserve">daň z příjmů fyzických osob z kapitálových výnosů - </t>
    </r>
    <r>
      <rPr>
        <b/>
        <i/>
        <sz val="8"/>
        <rFont val="Arial CE"/>
        <charset val="238"/>
      </rPr>
      <t>daň vybíraná srážkou</t>
    </r>
    <r>
      <rPr>
        <sz val="8"/>
        <rFont val="Arial CE"/>
        <family val="2"/>
        <charset val="238"/>
      </rPr>
      <t xml:space="preserve"> podle zvláštních předpisů</t>
    </r>
  </si>
  <si>
    <t>Daň / Rok</t>
  </si>
  <si>
    <t>* v poměru počet zaměstnanců Ostravy k celkovému počtu zaměstnanců ČR</t>
  </si>
  <si>
    <r>
      <t xml:space="preserve">daň z příjmů fyzických osob z kapitál. výnosů - </t>
    </r>
    <r>
      <rPr>
        <b/>
        <i/>
        <sz val="8"/>
        <rFont val="Arial CE"/>
        <charset val="238"/>
      </rPr>
      <t>daň vybíraná srážkou</t>
    </r>
    <r>
      <rPr>
        <sz val="8"/>
        <rFont val="Arial CE"/>
        <family val="2"/>
        <charset val="238"/>
      </rPr>
      <t xml:space="preserve"> podle zvláštních předpisů</t>
    </r>
  </si>
  <si>
    <t>% propadu oproti SR</t>
  </si>
  <si>
    <t>Vývoj příjmů ze sdílených daní SMO v roce 2012 - měsíční (2)</t>
  </si>
  <si>
    <t>Vývoj příjmů ze sdílených daní SMO v roce 2012 - měsíční (1)</t>
  </si>
  <si>
    <t>Sdílené daňové příjmy statutárního města Ostravy za rok 2012 - kumulativní</t>
  </si>
  <si>
    <t>Sdílené daňové příjmy statutárního města Ostravy za rok 2012 - měsíční</t>
  </si>
  <si>
    <t>Vývoj příjmů ze sdílených daní SMO v roce 2012 - kumulativní (1)</t>
  </si>
  <si>
    <t>Vývoj příjmů ze sdílených daní SMO v roce 2012 - kumulativní (2)</t>
  </si>
  <si>
    <t>Sdílené daňové příjmy statutárního města Ostravy za rok 2013 - měsíční</t>
  </si>
  <si>
    <t>Vývoj příjmů ze sdílených daní SMO v roce 2013 - měsíční (1)</t>
  </si>
  <si>
    <t>Vývoj příjmů ze sdílených daní SMO v roce 2013 - měsíční (2)</t>
  </si>
  <si>
    <t>Sdílené daňové příjmy statutárního města Ostravy za rok 2013 - kumulativní</t>
  </si>
  <si>
    <t>Vývoj příjmů ze sdílených daní SMO v roce 2013 - kumulativní (1)</t>
  </si>
  <si>
    <t>Vývoj příjmů ze sdílených daní SMO v roce 2013 - kumulativní (2)</t>
  </si>
  <si>
    <t>Sdílené daně města celkem</t>
  </si>
  <si>
    <t>Sdílené daňové příjmy statutárního města Ostravy za rok 2014 - měsíční</t>
  </si>
  <si>
    <t>Vývoj příjmů ze sdílených daní SMO v roce 2014 - měsíční (1)</t>
  </si>
  <si>
    <t>Vývoj příjmů ze sdílených daní SMO v roce 2014 - měsíční (2)</t>
  </si>
  <si>
    <t>Sdílené daňové příjmy statutárního města Ostravy za rok 2014 - kumulativní</t>
  </si>
  <si>
    <t>Vývoj příjmů ze sdílených daní SMO v roce 2014 - kumulativní (1)</t>
  </si>
  <si>
    <t>Vývoj příjmů ze sdílených daní SMO v roce 2014 - kumulativní (2)</t>
  </si>
  <si>
    <t>stav k 31.12.2014</t>
  </si>
  <si>
    <t>Daně statutárního města Ostravy - rok 2015</t>
  </si>
  <si>
    <t>(údaje v Kč)</t>
  </si>
  <si>
    <t>Vývoj příjmů ze sdílených daní SMO v roce 2015 - měsíční (2)</t>
  </si>
  <si>
    <t>Vývoj příjmů ze sdílených daní SMO v roce 2015 - měsíční (1)</t>
  </si>
  <si>
    <t>Sdílené daňové příjmy statutárního města Ostravy za rok 2015 - kumulativní</t>
  </si>
  <si>
    <t>Vývoj příjmů ze sdílených daní SMO v roce 2015 - kumulativní (1)</t>
  </si>
  <si>
    <t>Vývoj příjmů ze sdílených daní SMO v roce 2015 - kumulativní (2)</t>
  </si>
  <si>
    <t>(srovnání daní dle skutečnosti v Kč)</t>
  </si>
  <si>
    <r>
      <t>641-1121</t>
    </r>
    <r>
      <rPr>
        <sz val="8"/>
        <rFont val="Arial CE"/>
        <family val="2"/>
        <charset val="238"/>
      </rPr>
      <t xml:space="preserve">   daň z příjmů právnických osob -</t>
    </r>
    <r>
      <rPr>
        <b/>
        <i/>
        <sz val="8"/>
        <rFont val="Arial CE"/>
        <family val="2"/>
        <charset val="238"/>
      </rPr>
      <t xml:space="preserve"> sdílená daň</t>
    </r>
  </si>
  <si>
    <r>
      <t>1679-1211</t>
    </r>
    <r>
      <rPr>
        <sz val="8"/>
        <rFont val="Arial CE"/>
        <family val="2"/>
        <charset val="238"/>
      </rPr>
      <t xml:space="preserve">   daň z přidané hodnoty - </t>
    </r>
    <r>
      <rPr>
        <b/>
        <i/>
        <sz val="8"/>
        <rFont val="Arial CE"/>
        <family val="2"/>
        <charset val="238"/>
      </rPr>
      <t>sdílená daň</t>
    </r>
  </si>
  <si>
    <t xml:space="preserve">daně města celkem </t>
  </si>
  <si>
    <t>stav k 31.12.2015</t>
  </si>
  <si>
    <t>Daně statutárního města Ostravy - rok 2016</t>
  </si>
  <si>
    <t>Vývoj příjmů ze sdílených daní SMO v roce 2016 - měsíční (1)</t>
  </si>
  <si>
    <t>Vývoj příjmů ze sdílených daní SMO v roce 2016 - měsíční (2)</t>
  </si>
  <si>
    <t>Sdílené daňové příjmy statutárního města Ostravy za rok 2016 - kumulativní</t>
  </si>
  <si>
    <t>Vývoj příjmů ze sdílených daní SMO v roce 2016 - kumulativní (1)</t>
  </si>
  <si>
    <t>Vývoj příjmů ze sdílených daní SMO v roce 2016 - kumulativní (2)</t>
  </si>
  <si>
    <t>stav k 31.12.2016</t>
  </si>
  <si>
    <t>Daně statutárního města Ostravy - rok 2017</t>
  </si>
  <si>
    <t>Vývoj příjmů ze sdílených daní SMO v roce 2017 - měsíční (1)</t>
  </si>
  <si>
    <t>Vývoj příjmů ze sdílených daní SMO v roce 2017 - měsíční (2)</t>
  </si>
  <si>
    <t>RUD 2017 již položku pro obce neobsahuje, pouze dobíhají platby z konce roku 2016</t>
  </si>
  <si>
    <t>Sdílené daňové příjmy statutárního města Ostravy za rok 2017 - kumulativní</t>
  </si>
  <si>
    <t>Vývoj příjmů ze sdílených daní SMO v roce 2017 - kumulativní (1)</t>
  </si>
  <si>
    <t>Vývoj příjmů ze sdílených daní SMO v roce 2017 - kumulativní (2)</t>
  </si>
  <si>
    <t>* RUD 2017 již položku pro obce neobsahuje, pouze dobíhají platby z konce roku 2016</t>
  </si>
  <si>
    <t>rok 2017</t>
  </si>
  <si>
    <r>
      <t xml:space="preserve">daň z příjmů fyzických osob placená poplatníky - 
</t>
    </r>
    <r>
      <rPr>
        <b/>
        <i/>
        <sz val="8"/>
        <rFont val="Arial CE"/>
        <charset val="238"/>
      </rPr>
      <t>30 % záloh patřící výlučně městu</t>
    </r>
  </si>
  <si>
    <r>
      <t xml:space="preserve">daň z příjmů fyzických osob placená poplatníky - 
</t>
    </r>
    <r>
      <rPr>
        <b/>
        <i/>
        <sz val="8"/>
        <rFont val="Arial CE"/>
        <charset val="238"/>
      </rPr>
      <t>60 % sdílené daně</t>
    </r>
  </si>
  <si>
    <r>
      <t xml:space="preserve">daň z příjmů fyzických osob placená plátci - 
</t>
    </r>
    <r>
      <rPr>
        <b/>
        <i/>
        <sz val="8"/>
        <rFont val="Arial CE"/>
        <charset val="238"/>
      </rPr>
      <t>sdílená daň</t>
    </r>
  </si>
  <si>
    <r>
      <rPr>
        <sz val="8"/>
        <rFont val="Arial CE"/>
        <charset val="238"/>
      </rPr>
      <t xml:space="preserve">daň z příjmů FO placená plátci - </t>
    </r>
    <r>
      <rPr>
        <b/>
        <i/>
        <sz val="8"/>
        <rFont val="Arial CE"/>
        <family val="2"/>
        <charset val="238"/>
      </rPr>
      <t>1,5 % celost. výnosu</t>
    </r>
    <r>
      <rPr>
        <sz val="8"/>
        <rFont val="Arial CE"/>
        <family val="2"/>
        <charset val="238"/>
      </rPr>
      <t xml:space="preserve"> </t>
    </r>
    <r>
      <rPr>
        <sz val="6.5"/>
        <rFont val="Arial CE"/>
        <charset val="238"/>
      </rPr>
      <t>(v poměru počtu zaměstn. Ostravy k celkovému počtu zaměstn. ČR)</t>
    </r>
  </si>
  <si>
    <t>% propadu oproti UR</t>
  </si>
  <si>
    <t>stav k 31.12.2017</t>
  </si>
  <si>
    <r>
      <t xml:space="preserve">daň z příjmů fyzických osob vybíraná srážkou - </t>
    </r>
    <r>
      <rPr>
        <b/>
        <sz val="8"/>
        <rFont val="Arial CE"/>
        <charset val="238"/>
      </rPr>
      <t>sdílená daň</t>
    </r>
  </si>
  <si>
    <r>
      <t xml:space="preserve">daň z příjmů fyzických osob placená poplatníky - </t>
    </r>
    <r>
      <rPr>
        <b/>
        <i/>
        <sz val="8"/>
        <rFont val="Arial CE"/>
        <family val="2"/>
        <charset val="238"/>
      </rPr>
      <t>60% sdílené daně</t>
    </r>
  </si>
  <si>
    <r>
      <t xml:space="preserve">daň z příjmů fyzických osob placená plátci - </t>
    </r>
    <r>
      <rPr>
        <b/>
        <sz val="8"/>
        <rFont val="Arial CE"/>
        <family val="2"/>
        <charset val="238"/>
      </rPr>
      <t>motivační část daně</t>
    </r>
  </si>
  <si>
    <r>
      <t xml:space="preserve">daň z příjmů fyzických osob placená plátci - </t>
    </r>
    <r>
      <rPr>
        <b/>
        <i/>
        <sz val="8"/>
        <rFont val="Arial CE"/>
        <family val="2"/>
        <charset val="238"/>
      </rPr>
      <t>sdílená daň</t>
    </r>
  </si>
  <si>
    <t>Daně statutárního města Ostravy - rok 2018</t>
  </si>
  <si>
    <t>Vývoj příjmů ze sdílených daní SMO v roce 2018 - měsíční (1)</t>
  </si>
  <si>
    <t>Vývoj příjmů ze sdílených daní SMO v roce 2018 - měsíční (2)</t>
  </si>
  <si>
    <t>Vývoj příjmů ze sdílených daní SMO v roce 2018 - kumulativní (1)</t>
  </si>
  <si>
    <t>Vývoj příjmů ze sdílených daní SMO v roce 2018 - kumulativní (2)</t>
  </si>
  <si>
    <r>
      <t>2612-1111</t>
    </r>
    <r>
      <rPr>
        <sz val="8"/>
        <rFont val="Arial CE"/>
        <family val="2"/>
        <charset val="238"/>
      </rPr>
      <t xml:space="preserve">   daň z příjmů fyzických osob placená plátci - </t>
    </r>
    <r>
      <rPr>
        <b/>
        <sz val="8"/>
        <rFont val="Arial CE"/>
        <family val="2"/>
        <charset val="238"/>
      </rPr>
      <t>sdílená daň</t>
    </r>
  </si>
  <si>
    <r>
      <t xml:space="preserve">4634-1111    </t>
    </r>
    <r>
      <rPr>
        <sz val="8"/>
        <rFont val="Arial CE"/>
        <family val="2"/>
        <charset val="238"/>
      </rPr>
      <t xml:space="preserve">daň z příjmů fyzických osob placená plátci - </t>
    </r>
    <r>
      <rPr>
        <b/>
        <sz val="8"/>
        <rFont val="Arial CE"/>
        <family val="2"/>
        <charset val="238"/>
      </rPr>
      <t>motivační část daně</t>
    </r>
  </si>
  <si>
    <r>
      <t>1660-1113</t>
    </r>
    <r>
      <rPr>
        <sz val="8"/>
        <rFont val="Arial CE"/>
        <family val="2"/>
        <charset val="238"/>
      </rPr>
      <t xml:space="preserve">   daň z příjmů fyzických osob vybíraná srážkou - </t>
    </r>
    <r>
      <rPr>
        <b/>
        <sz val="8"/>
        <rFont val="Arial CE"/>
        <family val="2"/>
        <charset val="238"/>
      </rPr>
      <t>sdílená daň</t>
    </r>
  </si>
  <si>
    <t>rok 2018</t>
  </si>
  <si>
    <t>Daň z příjmů FO placená plátci</t>
  </si>
  <si>
    <t>Daň z příjmů FO placená poplatníky</t>
  </si>
  <si>
    <t>Daň z příjmů FO vybíraná srážkou</t>
  </si>
  <si>
    <t>Sdílené daňové příjmy statutárního města Ostravy za rok 2018 - kumulativní</t>
  </si>
  <si>
    <t>stav k 31.12.2018</t>
  </si>
  <si>
    <t>Vývoj příjmů ze sdílených daní SMO v roce 2019 - měsíční (1)</t>
  </si>
  <si>
    <t>Vývoj příjmů ze sdílených daní SMO v roce 2019 - měsíční (2)</t>
  </si>
  <si>
    <t>Sdílené daňové příjmy statutárního města Ostravy za rok 2019 - kumulativní</t>
  </si>
  <si>
    <t>Vývoj příjmů ze sdílených daní SMO v roce 2019 - kumulativní (1)</t>
  </si>
  <si>
    <t>Vývoj příjmů ze sdílených daní SMO v roce 2019 - kumulativní (2)</t>
  </si>
  <si>
    <t>rok 2019</t>
  </si>
  <si>
    <t>% propadu
proti SR</t>
  </si>
  <si>
    <t>Daně statutárního města Ostravy v roce 2019</t>
  </si>
  <si>
    <t>meziroční změna v %</t>
  </si>
  <si>
    <t>absolutní hodnota v Kč</t>
  </si>
  <si>
    <t>***</t>
  </si>
  <si>
    <t>stav k 31.12.2019</t>
  </si>
  <si>
    <t>Daně statutárního města Ostravy v roce 2020</t>
  </si>
  <si>
    <t>Vývoj příjmů ze sdílených daní SMO v roce 2020 - měsíční (1)</t>
  </si>
  <si>
    <t>Vývoj příjmů ze sdílených daní SMO v roce 2020 - měsíční (2)</t>
  </si>
  <si>
    <t>Sdílené daňové příjmy statutárního města Ostravy za rok 2020 - kumulativní</t>
  </si>
  <si>
    <t>Vývoj příjmů ze sdílených daní SMO v roce 2020 - kumulativní (1)</t>
  </si>
  <si>
    <t>Vývoj příjmů ze sdílených daní SMO v roce 2020 - kumulativní (2)</t>
  </si>
  <si>
    <t>Daně statutárního města Ostravy v letech 2017 - 2020</t>
  </si>
  <si>
    <t>rok 2020</t>
  </si>
  <si>
    <r>
      <t>1652-1112</t>
    </r>
    <r>
      <rPr>
        <sz val="8"/>
        <rFont val="Arial CE"/>
        <family val="2"/>
        <charset val="238"/>
      </rPr>
      <t xml:space="preserve">   daň z příjmů fyzických osob placená poplatníky - </t>
    </r>
    <r>
      <rPr>
        <b/>
        <sz val="8"/>
        <rFont val="Arial CE"/>
        <family val="2"/>
        <charset val="238"/>
      </rPr>
      <t>60% sdílené daně</t>
    </r>
    <r>
      <rPr>
        <sz val="8"/>
        <rFont val="Arial CE"/>
        <charset val="238"/>
      </rPr>
      <t xml:space="preserve"> </t>
    </r>
    <r>
      <rPr>
        <sz val="7.5"/>
        <rFont val="Arial CE"/>
        <charset val="238"/>
      </rPr>
      <t>(do roku 2017 včetně 30% záloh patřících výlučně městu)</t>
    </r>
  </si>
  <si>
    <t>Srovnání vývoje příjmů ze sdílených daní SMO v roce 2019 a 2020 - kumulativní</t>
  </si>
  <si>
    <t>skutečnost roku 2020 - k 07.12.2020</t>
  </si>
  <si>
    <t>stav k 31.12.2020</t>
  </si>
  <si>
    <t>pozn: roční plán včetně úpravy rozpočtu ze dne 11.12.2020 (usnesení ZM č. 1178/ZM1822/19) a ze dne 22.12.2020 (usnesení RM č. 5613/RM1822/82)</t>
  </si>
  <si>
    <t>Daně statutárního města Ostravy v roce 2021</t>
  </si>
  <si>
    <t>Vývoj příjmů ze sdílených daní SMO v roce 2021 - měsíční (1)</t>
  </si>
  <si>
    <t>Vývoj příjmů ze sdílených daní SMO v roce 2021 - měsíční (2)</t>
  </si>
  <si>
    <t>Sdílené daňové příjmy statutárního města Ostravy za rok 2021 - kumulativní</t>
  </si>
  <si>
    <t>Vývoj příjmů ze sdílených daní SMO v roce 2021 - kumulativní (1)</t>
  </si>
  <si>
    <t>Vývoj příjmů ze sdílených daní SMO v roce 2021 - kumulativní (2)</t>
  </si>
  <si>
    <t>Daně statutárního města Ostravy v letech 2018 - 2021</t>
  </si>
  <si>
    <t>rok 2021</t>
  </si>
  <si>
    <r>
      <t>1652-1112</t>
    </r>
    <r>
      <rPr>
        <sz val="8"/>
        <rFont val="Arial CE"/>
        <family val="2"/>
        <charset val="238"/>
      </rPr>
      <t xml:space="preserve">   daň z příjmů fyzických osob placená poplatníky - </t>
    </r>
    <r>
      <rPr>
        <b/>
        <sz val="8"/>
        <rFont val="Arial CE"/>
        <family val="2"/>
        <charset val="238"/>
      </rPr>
      <t>60% sdílené daně</t>
    </r>
  </si>
  <si>
    <t>Srovnání vývoje příjmů ze sdílených daní SMO v roce 2020 a 2021 - kumulativní (1)</t>
  </si>
  <si>
    <t>Srovnání vývoje příjmů ze sdílených daní SMO v roce 2020 a 2021 - kumulativní (2)</t>
  </si>
  <si>
    <t>stav k 31.12.2021</t>
  </si>
  <si>
    <t>pozn: roční plán včetně úpravy rozpočtu ze dne 08.12.2021 (usnesení ZM č. 1744/ZM1822/28)</t>
  </si>
  <si>
    <t>% propadu
oproti SR</t>
  </si>
  <si>
    <t>skutečnost roku 2021 - k 31.12.2021</t>
  </si>
  <si>
    <t>Daně statutárního města Ostravy v roce 2022</t>
  </si>
  <si>
    <t>Daně statutárního města Ostravy v letech 2019 - 2022</t>
  </si>
  <si>
    <t>rok 2022</t>
  </si>
  <si>
    <t>pozn: roční plán včetně úpravy rozpočtu ze dne 07.12.2022 (usnesení ZM č. 0061/ZM2226/3)</t>
  </si>
  <si>
    <r>
      <rPr>
        <b/>
        <sz val="8"/>
        <rFont val="Arial CE"/>
        <charset val="238"/>
      </rPr>
      <t>daň z příjmů fyzických osob placená plátci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(25,84 % pro obce)</t>
    </r>
  </si>
  <si>
    <r>
      <rPr>
        <b/>
        <sz val="8"/>
        <rFont val="Arial CE"/>
        <charset val="238"/>
      </rPr>
      <t>daň z příjmů fyzických osob placená poplatníky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(25,84 % pro obce)</t>
    </r>
  </si>
  <si>
    <r>
      <rPr>
        <b/>
        <sz val="8"/>
        <rFont val="Arial CE"/>
        <charset val="238"/>
      </rPr>
      <t>daň z příjmů fyzických osob vybíraná srážkou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(25,84 % pro obce)</t>
    </r>
  </si>
  <si>
    <r>
      <rPr>
        <b/>
        <sz val="8"/>
        <rFont val="Arial CE"/>
        <charset val="238"/>
      </rPr>
      <t>daň z příjmů právnických osob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(25,84 % pro obce)</t>
    </r>
  </si>
  <si>
    <r>
      <rPr>
        <b/>
        <sz val="8"/>
        <rFont val="Arial CE"/>
        <charset val="238"/>
      </rPr>
      <t>daň z přidané hodnoty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(25,84 % pro obce)</t>
    </r>
  </si>
  <si>
    <r>
      <rPr>
        <b/>
        <sz val="8"/>
        <rFont val="Arial CE"/>
        <charset val="238"/>
      </rPr>
      <t>daň z příjmů fyzických osob placená plátci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- motivační část (1,5 % pro obce)</t>
    </r>
  </si>
  <si>
    <t>Sdílené daňové příjmy statutárního města Ostravy za rok 2022 – kumulativní</t>
  </si>
  <si>
    <t>Vývoj příjmů ze sdílených daní SMO v roce 2022 – měsíční (1)</t>
  </si>
  <si>
    <t>Vývoj příjmů ze sdílených daní SMO v roce 2022 – měsíční (2)</t>
  </si>
  <si>
    <t>Vývoj příjmů ze sdílených daní SMO v roce 2022 – kumulativní (1)</t>
  </si>
  <si>
    <r>
      <t xml:space="preserve">Srovnání vývoje příjmů ze sdílených daní SMO v roce 2021 a 2022 </t>
    </r>
    <r>
      <rPr>
        <sz val="20"/>
        <rFont val="Calibri"/>
        <family val="2"/>
        <charset val="238"/>
        <scheme val="minor"/>
      </rPr>
      <t>–</t>
    </r>
    <r>
      <rPr>
        <b/>
        <sz val="20"/>
        <rFont val="Calibri"/>
        <family val="2"/>
        <charset val="238"/>
        <scheme val="minor"/>
      </rPr>
      <t xml:space="preserve"> kumulativní (1)</t>
    </r>
  </si>
  <si>
    <t>Srovnání vývoje příjmů ze sdílených daní SMO v roce 2021 a 2022 – kumulativní (2)</t>
  </si>
  <si>
    <r>
      <t>2612-1111   daň z příjmů fyzických osob placená plátci</t>
    </r>
    <r>
      <rPr>
        <sz val="8"/>
        <rFont val="Arial CE"/>
        <family val="2"/>
        <charset val="238"/>
      </rPr>
      <t xml:space="preserve">
sdílená daň (25,84 % pro obce)</t>
    </r>
  </si>
  <si>
    <r>
      <t>4634-1111   daň z příjmů fyzických osob placená plátci</t>
    </r>
    <r>
      <rPr>
        <sz val="8"/>
        <rFont val="Arial CE"/>
        <family val="2"/>
        <charset val="238"/>
      </rPr>
      <t xml:space="preserve">
sdílená daň - motivační část (1,5 % pro obce)</t>
    </r>
  </si>
  <si>
    <r>
      <t>1652-1112   daň z příjmů fyzických osob placená poplatníky</t>
    </r>
    <r>
      <rPr>
        <sz val="8"/>
        <rFont val="Arial CE"/>
        <family val="2"/>
        <charset val="238"/>
      </rPr>
      <t xml:space="preserve">
sdílená daň (25,84 % pro obce)</t>
    </r>
  </si>
  <si>
    <r>
      <rPr>
        <b/>
        <sz val="8"/>
        <rFont val="Arial CE"/>
        <charset val="238"/>
      </rPr>
      <t>1660-1113   daň z příjmů fyzických osob vybíraná srážkou</t>
    </r>
    <r>
      <rPr>
        <sz val="8"/>
        <rFont val="Arial CE"/>
        <family val="2"/>
        <charset val="238"/>
      </rPr>
      <t xml:space="preserve">
sdílená daň (25,84 % pro obce)</t>
    </r>
  </si>
  <si>
    <r>
      <t>641-1121   daň z příjmů právnických osob</t>
    </r>
    <r>
      <rPr>
        <sz val="8"/>
        <rFont val="Arial CE"/>
        <family val="2"/>
        <charset val="238"/>
      </rPr>
      <t xml:space="preserve">
sdílená daň (25,84 % pro obce)</t>
    </r>
  </si>
  <si>
    <r>
      <t>1679-1211   daň z přidané hodnoty</t>
    </r>
    <r>
      <rPr>
        <sz val="8"/>
        <rFont val="Arial CE"/>
        <family val="2"/>
        <charset val="238"/>
      </rPr>
      <t xml:space="preserve">
sdílená daň (25,84 % pro obce)</t>
    </r>
  </si>
  <si>
    <t>Vývoj příjmů ze sdílených daní SMO v roce 2022 – kumulativní (2)</t>
  </si>
  <si>
    <t>Daně statutárního města Ostravy v roce 2023</t>
  </si>
  <si>
    <t>Vývoj příjmů ze sdílených daní SMO v roce 2023 – měsíční (1)</t>
  </si>
  <si>
    <t>Vývoj příjmů ze sdílených daní SMO v roce 2023 – měsíční (2)</t>
  </si>
  <si>
    <t>Sdílené daňové příjmy statutárního města Ostravy za rok 2023 – kumulativní</t>
  </si>
  <si>
    <t>Vývoj příjmů ze sdílených daní SMO v roce 2023 – kumulativní (1)</t>
  </si>
  <si>
    <t>Daně statutárního města Ostravy v letech 2020 - 2023</t>
  </si>
  <si>
    <t>rok 2023</t>
  </si>
  <si>
    <r>
      <t xml:space="preserve">Srovnání vývoje příjmů ze sdílených daní SMO v roce 2022 a 2023 </t>
    </r>
    <r>
      <rPr>
        <sz val="20"/>
        <rFont val="Calibri"/>
        <family val="2"/>
        <charset val="238"/>
        <scheme val="minor"/>
      </rPr>
      <t>–</t>
    </r>
    <r>
      <rPr>
        <b/>
        <sz val="20"/>
        <rFont val="Calibri"/>
        <family val="2"/>
        <charset val="238"/>
        <scheme val="minor"/>
      </rPr>
      <t xml:space="preserve"> kumulativní (1)</t>
    </r>
  </si>
  <si>
    <t>Srovnání vývoje příjmů ze sdílených daní SMO v roce 2022 a 2023 – kumulativní (2)</t>
  </si>
  <si>
    <t>Vývoj příjmů ze sdílených daní SMO v roce 2023 – kumulativní (2)</t>
  </si>
  <si>
    <t>pozn: roční plán včetně úpravy rozpočtu ze dne 06.12.2023 (usnesení ZM č. 0521/ZM2226/12)</t>
  </si>
  <si>
    <t>Daně statutárního města Ostravy v roce 2024</t>
  </si>
  <si>
    <r>
      <rPr>
        <b/>
        <sz val="8"/>
        <rFont val="Arial CE"/>
        <charset val="238"/>
      </rPr>
      <t>daň z příjmů fyzických osob placená plátci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(24,92 % pro obce)</t>
    </r>
  </si>
  <si>
    <r>
      <rPr>
        <b/>
        <sz val="8"/>
        <rFont val="Arial CE"/>
        <charset val="238"/>
      </rPr>
      <t>daň z příjmů fyzických osob placená poplatníky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(24,92 % pro obce)</t>
    </r>
  </si>
  <si>
    <r>
      <rPr>
        <b/>
        <sz val="8"/>
        <rFont val="Arial CE"/>
        <charset val="238"/>
      </rPr>
      <t>daň z příjmů fyzických osob vybíraná srážkou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(24,92 % pro obce)</t>
    </r>
  </si>
  <si>
    <r>
      <rPr>
        <b/>
        <sz val="8"/>
        <rFont val="Arial CE"/>
        <charset val="238"/>
      </rPr>
      <t>daň z příjmů právnických osob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(24,92 % pro obce)</t>
    </r>
  </si>
  <si>
    <r>
      <rPr>
        <b/>
        <sz val="8"/>
        <rFont val="Arial CE"/>
        <charset val="238"/>
      </rPr>
      <t>daň z přidané hodnoty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(24,92 % pro obce)</t>
    </r>
  </si>
  <si>
    <t>Vývoj příjmů ze sdílených daní SMO v roce 2024 – měsíční (1)</t>
  </si>
  <si>
    <t>Vývoj příjmů ze sdílených daní SMO v roce 2024 – měsíční (2)</t>
  </si>
  <si>
    <t>Sdílené daňové příjmy statutárního města Ostravy za rok 2024 – kumulativní</t>
  </si>
  <si>
    <t>Vývoj příjmů ze sdílených daní SMO v roce 2024 – kumulativní (1)</t>
  </si>
  <si>
    <t>Vývoj příjmů ze sdílených daní SMO v roce 2024 – kumulativní (2)</t>
  </si>
  <si>
    <t>rok 2024</t>
  </si>
  <si>
    <r>
      <t>2612-1111   daň z příjmů fyzických osob placená plátci</t>
    </r>
    <r>
      <rPr>
        <sz val="8"/>
        <rFont val="Arial CE"/>
        <family val="2"/>
        <charset val="238"/>
      </rPr>
      <t xml:space="preserve">
sdílená daň (24,92 % pro obce)</t>
    </r>
  </si>
  <si>
    <r>
      <t>1652-1112   daň z příjmů fyzických osob placená poplatníky</t>
    </r>
    <r>
      <rPr>
        <sz val="8"/>
        <rFont val="Arial CE"/>
        <family val="2"/>
        <charset val="238"/>
      </rPr>
      <t xml:space="preserve">
sdílená daň (24,92 % pro obce)</t>
    </r>
  </si>
  <si>
    <r>
      <t>1660-1113   daň z příjmů fyzických osob vybíraná srážkou</t>
    </r>
    <r>
      <rPr>
        <sz val="8"/>
        <rFont val="Arial CE"/>
        <family val="2"/>
        <charset val="238"/>
      </rPr>
      <t xml:space="preserve">
sdílená daň (24,92 % pro obce)</t>
    </r>
  </si>
  <si>
    <r>
      <t>641-1121   daň z příjmů právnických osob</t>
    </r>
    <r>
      <rPr>
        <sz val="8"/>
        <rFont val="Arial CE"/>
        <family val="2"/>
        <charset val="238"/>
      </rPr>
      <t xml:space="preserve">
sdílená daň (24,92 % pro obce)</t>
    </r>
  </si>
  <si>
    <r>
      <t>1679-1211   daň z přidané hodnoty</t>
    </r>
    <r>
      <rPr>
        <sz val="8"/>
        <rFont val="Arial CE"/>
        <family val="2"/>
        <charset val="238"/>
      </rPr>
      <t xml:space="preserve">
sdílená daň (24,92 % pro obce)</t>
    </r>
  </si>
  <si>
    <r>
      <t xml:space="preserve">Srovnání vývoje příjmů ze sdílených daní SMO v roce 2023 a 2024 </t>
    </r>
    <r>
      <rPr>
        <sz val="20"/>
        <rFont val="Calibri"/>
        <family val="2"/>
        <charset val="238"/>
        <scheme val="minor"/>
      </rPr>
      <t>–</t>
    </r>
    <r>
      <rPr>
        <b/>
        <sz val="20"/>
        <rFont val="Calibri"/>
        <family val="2"/>
        <charset val="238"/>
        <scheme val="minor"/>
      </rPr>
      <t xml:space="preserve"> kumulativní (1)</t>
    </r>
  </si>
  <si>
    <t>Srovnání vývoje příjmů ze sdílených daní SMO v roce 2023 a 2024 – kumulativní (2)</t>
  </si>
  <si>
    <t>Daně statutárního města Ostravy v letech 2021 – 2024</t>
  </si>
  <si>
    <t>stav k 31.12.2024</t>
  </si>
  <si>
    <t>skutečnost roku 2024 - k 31.12.2024</t>
  </si>
  <si>
    <t>Vývoj příjmů ze sdílených daní SMO v letech 2015–2024</t>
  </si>
  <si>
    <t>Vývoj příjmů ze sdílených daní SMO v letech 2015–2024 (1)</t>
  </si>
  <si>
    <t>Vývoj příjmů ze sdílených daní SMO v letech 2015–2024 (2)</t>
  </si>
  <si>
    <t>Daně statutárního města Ostravy v roce 2025</t>
  </si>
  <si>
    <r>
      <rPr>
        <b/>
        <sz val="8"/>
        <rFont val="Arial CE"/>
        <charset val="238"/>
      </rPr>
      <t>daň z příjmů fyzických osob placená plátci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(24,16 % pro obce)</t>
    </r>
  </si>
  <si>
    <r>
      <rPr>
        <b/>
        <sz val="8"/>
        <rFont val="Arial CE"/>
        <charset val="238"/>
      </rPr>
      <t>daň z příjmů fyzických osob placená poplatníky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(24,16 % pro obce)</t>
    </r>
  </si>
  <si>
    <r>
      <rPr>
        <b/>
        <sz val="8"/>
        <rFont val="Arial CE"/>
        <charset val="238"/>
      </rPr>
      <t>daň z příjmů fyzických osob vybíraná srážkou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(24,16 % pro obce)</t>
    </r>
  </si>
  <si>
    <r>
      <rPr>
        <b/>
        <sz val="8"/>
        <rFont val="Arial CE"/>
        <charset val="238"/>
      </rPr>
      <t>daň z přidané hodnoty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(24,16 % pro obce)</t>
    </r>
  </si>
  <si>
    <r>
      <rPr>
        <b/>
        <sz val="8"/>
        <rFont val="Arial CE"/>
        <charset val="238"/>
      </rPr>
      <t>daň z příjmů právnických osob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(24,16 % pro obce)</t>
    </r>
  </si>
  <si>
    <t>Vývoj příjmů ze sdílených daní SMO v roce 2025 – měsíční (1)</t>
  </si>
  <si>
    <t>Vývoj příjmů ze sdílených daní SMO v roce 2025 – měsíční (2)</t>
  </si>
  <si>
    <t>Vývoj příjmů ze sdílených daní SMO v roce 2025 – kumulativní (1)</t>
  </si>
  <si>
    <t>Vývoj příjmů ze sdílených daní SMO v roce 2025 – kumulativní (2)</t>
  </si>
  <si>
    <t>2612-1111   daň z příjmů fyzických osob placená plátci</t>
  </si>
  <si>
    <t>4634-1111   daň z příjmů fyzických osob placená plátci</t>
  </si>
  <si>
    <t>1652-1112   daň z příjmů fyzických osob placená poplatníky</t>
  </si>
  <si>
    <t>1660-1113   daň z příjmů fyzických osob vybíraná srážkou</t>
  </si>
  <si>
    <t>1679-1211   daň z přidané hodnoty</t>
  </si>
  <si>
    <t>641-1121   daň z příjmů právnických osob</t>
  </si>
  <si>
    <t>Daně statutárního města Ostravy v letech 2022 – 2025</t>
  </si>
  <si>
    <t>rok 2025</t>
  </si>
  <si>
    <r>
      <t xml:space="preserve">Srovnání vývoje příjmů ze sdílených daní SMO v roce 2024 a 2025 </t>
    </r>
    <r>
      <rPr>
        <sz val="20"/>
        <rFont val="Calibri"/>
        <family val="2"/>
        <charset val="238"/>
        <scheme val="minor"/>
      </rPr>
      <t>–</t>
    </r>
    <r>
      <rPr>
        <b/>
        <sz val="20"/>
        <rFont val="Calibri"/>
        <family val="2"/>
        <charset val="238"/>
        <scheme val="minor"/>
      </rPr>
      <t xml:space="preserve"> kumulativní (1)</t>
    </r>
  </si>
  <si>
    <t>Srovnání vývoje příjmů ze sdílených daní SMO v roce 2024 a 2025 – kumulativní (2)</t>
  </si>
  <si>
    <t>Sdílené daňové příjmy statutárního města Ostravy za rok 2025 – kumulativní</t>
  </si>
  <si>
    <t>stav k 06.06.2025</t>
  </si>
  <si>
    <t>skutečnost roku 2025 - k 06.06.2025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</si>
</sst>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5" formatCode="#,##0.00_ ;\-#,##0.00\ "/>
    <numFmt numFmtId="166" formatCode="#,##0.00000000_ ;\-#,##0.00000000\ "/>
    <numFmt numFmtId="167" formatCode="0.00&quot; &quot;%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6"/>
      <color indexed="10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6"/>
      <color indexed="8"/>
      <name val="Arial CE"/>
      <charset val="238"/>
    </font>
    <font>
      <sz val="7"/>
      <name val="Arial CE"/>
      <charset val="238"/>
    </font>
    <font>
      <b/>
      <i/>
      <sz val="8"/>
      <name val="Arial CE"/>
      <charset val="238"/>
    </font>
    <font>
      <b/>
      <sz val="18"/>
      <name val="Arial CE"/>
      <family val="2"/>
      <charset val="238"/>
    </font>
    <font>
      <b/>
      <sz val="20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7"/>
      <name val="Arial CE"/>
      <family val="2"/>
      <charset val="238"/>
    </font>
    <font>
      <b/>
      <i/>
      <sz val="16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8"/>
      <name val="Arial CE"/>
      <charset val="238"/>
    </font>
    <font>
      <b/>
      <sz val="9"/>
      <name val="Arial CE"/>
      <family val="2"/>
      <charset val="238"/>
    </font>
    <font>
      <b/>
      <i/>
      <sz val="9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sz val="6.5"/>
      <name val="Arial CE"/>
      <charset val="238"/>
    </font>
    <font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sz val="7.5"/>
      <name val="Arial CE"/>
      <family val="2"/>
      <charset val="238"/>
    </font>
    <font>
      <b/>
      <i/>
      <sz val="16"/>
      <color rgb="FFFF0000"/>
      <name val="Arial CE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6"/>
      <color rgb="FFFF0000"/>
      <name val="Arial CE"/>
      <family val="2"/>
      <charset val="238"/>
    </font>
    <font>
      <sz val="7.5"/>
      <name val="Arial CE"/>
      <charset val="238"/>
    </font>
    <font>
      <b/>
      <i/>
      <sz val="15"/>
      <color indexed="10"/>
      <name val="Arial CE"/>
      <family val="2"/>
      <charset val="238"/>
    </font>
    <font>
      <sz val="15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sz val="20"/>
      <name val="Calibri"/>
      <family val="2"/>
      <charset val="238"/>
      <scheme val="minor"/>
    </font>
    <font>
      <sz val="11"/>
      <name val="Arial CE"/>
      <family val="2"/>
      <charset val="238"/>
    </font>
    <font>
      <sz val="7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23">
    <xf numFmtId="0" fontId="0" fillId="0" borderId="0" xfId="0"/>
    <xf numFmtId="0" fontId="2" fillId="0" borderId="0" xfId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2" borderId="0" xfId="1" applyFont="1" applyFill="1" applyAlignment="1">
      <alignment horizontal="left"/>
    </xf>
    <xf numFmtId="0" fontId="5" fillId="2" borderId="0" xfId="1" applyFont="1" applyFill="1"/>
    <xf numFmtId="0" fontId="5" fillId="0" borderId="0" xfId="1" applyFont="1"/>
    <xf numFmtId="164" fontId="5" fillId="0" borderId="0" xfId="1" applyNumberFormat="1" applyFont="1"/>
    <xf numFmtId="0" fontId="6" fillId="0" borderId="13" xfId="1" applyFont="1" applyBorder="1"/>
    <xf numFmtId="0" fontId="6" fillId="0" borderId="19" xfId="1" applyFont="1" applyBorder="1"/>
    <xf numFmtId="164" fontId="6" fillId="0" borderId="20" xfId="1" applyNumberFormat="1" applyFont="1" applyBorder="1"/>
    <xf numFmtId="164" fontId="6" fillId="0" borderId="21" xfId="1" applyNumberFormat="1" applyFont="1" applyBorder="1"/>
    <xf numFmtId="164" fontId="6" fillId="0" borderId="16" xfId="1" applyNumberFormat="1" applyFont="1" applyBorder="1"/>
    <xf numFmtId="164" fontId="6" fillId="0" borderId="14" xfId="1" applyNumberFormat="1" applyFont="1" applyBorder="1"/>
    <xf numFmtId="164" fontId="6" fillId="0" borderId="22" xfId="1" applyNumberFormat="1" applyFont="1" applyBorder="1"/>
    <xf numFmtId="0" fontId="5" fillId="0" borderId="26" xfId="1" applyFont="1" applyBorder="1"/>
    <xf numFmtId="164" fontId="5" fillId="0" borderId="27" xfId="1" applyNumberFormat="1" applyFont="1" applyBorder="1"/>
    <xf numFmtId="2" fontId="5" fillId="0" borderId="28" xfId="1" applyNumberFormat="1" applyFont="1" applyBorder="1"/>
    <xf numFmtId="2" fontId="5" fillId="0" borderId="29" xfId="1" applyNumberFormat="1" applyFont="1" applyBorder="1"/>
    <xf numFmtId="0" fontId="7" fillId="0" borderId="0" xfId="1" applyFont="1"/>
    <xf numFmtId="164" fontId="2" fillId="0" borderId="0" xfId="1" applyNumberFormat="1"/>
    <xf numFmtId="0" fontId="6" fillId="0" borderId="31" xfId="1" applyFont="1" applyBorder="1"/>
    <xf numFmtId="164" fontId="6" fillId="0" borderId="17" xfId="1" applyNumberFormat="1" applyFont="1" applyBorder="1"/>
    <xf numFmtId="164" fontId="6" fillId="0" borderId="15" xfId="1" applyNumberFormat="1" applyFont="1" applyBorder="1"/>
    <xf numFmtId="164" fontId="6" fillId="0" borderId="18" xfId="1" applyNumberFormat="1" applyFont="1" applyBorder="1"/>
    <xf numFmtId="164" fontId="6" fillId="0" borderId="2" xfId="1" applyNumberFormat="1" applyFont="1" applyBorder="1"/>
    <xf numFmtId="164" fontId="6" fillId="0" borderId="32" xfId="1" applyNumberFormat="1" applyFont="1" applyBorder="1"/>
    <xf numFmtId="164" fontId="6" fillId="0" borderId="33" xfId="1" applyNumberFormat="1" applyFont="1" applyBorder="1"/>
    <xf numFmtId="164" fontId="6" fillId="0" borderId="34" xfId="1" applyNumberFormat="1" applyFont="1" applyBorder="1"/>
    <xf numFmtId="164" fontId="6" fillId="0" borderId="35" xfId="1" applyNumberFormat="1" applyFont="1" applyBorder="1"/>
    <xf numFmtId="0" fontId="6" fillId="0" borderId="36" xfId="1" applyFont="1" applyBorder="1"/>
    <xf numFmtId="164" fontId="6" fillId="0" borderId="36" xfId="1" applyNumberFormat="1" applyFont="1" applyBorder="1"/>
    <xf numFmtId="164" fontId="6" fillId="0" borderId="37" xfId="1" applyNumberFormat="1" applyFont="1" applyBorder="1"/>
    <xf numFmtId="164" fontId="6" fillId="0" borderId="30" xfId="1" applyNumberFormat="1" applyFont="1" applyBorder="1"/>
    <xf numFmtId="164" fontId="6" fillId="0" borderId="38" xfId="1" applyNumberFormat="1" applyFont="1" applyBorder="1"/>
    <xf numFmtId="164" fontId="5" fillId="0" borderId="45" xfId="1" applyNumberFormat="1" applyFont="1" applyBorder="1"/>
    <xf numFmtId="2" fontId="5" fillId="0" borderId="7" xfId="1" applyNumberFormat="1" applyFont="1" applyBorder="1"/>
    <xf numFmtId="2" fontId="5" fillId="0" borderId="46" xfId="1" applyNumberFormat="1" applyFont="1" applyBorder="1"/>
    <xf numFmtId="164" fontId="5" fillId="2" borderId="27" xfId="1" applyNumberFormat="1" applyFont="1" applyFill="1" applyBorder="1"/>
    <xf numFmtId="2" fontId="5" fillId="2" borderId="29" xfId="1" applyNumberFormat="1" applyFont="1" applyFill="1" applyBorder="1"/>
    <xf numFmtId="164" fontId="6" fillId="0" borderId="24" xfId="1" applyNumberFormat="1" applyFont="1" applyBorder="1"/>
    <xf numFmtId="164" fontId="6" fillId="0" borderId="25" xfId="1" applyNumberFormat="1" applyFont="1" applyBorder="1"/>
    <xf numFmtId="164" fontId="6" fillId="0" borderId="12" xfId="1" applyNumberFormat="1" applyFont="1" applyBorder="1"/>
    <xf numFmtId="164" fontId="6" fillId="0" borderId="40" xfId="1" applyNumberFormat="1" applyFont="1" applyBorder="1"/>
    <xf numFmtId="164" fontId="6" fillId="0" borderId="6" xfId="1" applyNumberFormat="1" applyFont="1" applyBorder="1"/>
    <xf numFmtId="164" fontId="6" fillId="0" borderId="41" xfId="1" applyNumberFormat="1" applyFont="1" applyBorder="1"/>
    <xf numFmtId="164" fontId="6" fillId="0" borderId="42" xfId="1" applyNumberFormat="1" applyFont="1" applyBorder="1"/>
    <xf numFmtId="164" fontId="6" fillId="0" borderId="43" xfId="1" applyNumberFormat="1" applyFont="1" applyBorder="1"/>
    <xf numFmtId="164" fontId="6" fillId="0" borderId="44" xfId="1" applyNumberFormat="1" applyFont="1" applyBorder="1"/>
    <xf numFmtId="0" fontId="6" fillId="0" borderId="23" xfId="1" applyFont="1" applyBorder="1"/>
    <xf numFmtId="0" fontId="6" fillId="0" borderId="39" xfId="1" applyFont="1" applyBorder="1"/>
    <xf numFmtId="4" fontId="5" fillId="0" borderId="0" xfId="1" applyNumberFormat="1" applyFont="1"/>
    <xf numFmtId="165" fontId="5" fillId="0" borderId="0" xfId="1" applyNumberFormat="1" applyFont="1"/>
    <xf numFmtId="4" fontId="6" fillId="0" borderId="0" xfId="1" applyNumberFormat="1" applyFont="1"/>
    <xf numFmtId="165" fontId="12" fillId="0" borderId="0" xfId="1" applyNumberFormat="1" applyFont="1"/>
    <xf numFmtId="4" fontId="2" fillId="0" borderId="0" xfId="1" applyNumberFormat="1"/>
    <xf numFmtId="3" fontId="0" fillId="0" borderId="0" xfId="0" applyNumberFormat="1"/>
    <xf numFmtId="0" fontId="14" fillId="0" borderId="0" xfId="1" applyFont="1" applyAlignment="1">
      <alignment horizontal="center"/>
    </xf>
    <xf numFmtId="0" fontId="16" fillId="0" borderId="0" xfId="1" applyFont="1"/>
    <xf numFmtId="0" fontId="17" fillId="0" borderId="0" xfId="1" applyFont="1"/>
    <xf numFmtId="0" fontId="6" fillId="0" borderId="0" xfId="1" applyFont="1"/>
    <xf numFmtId="0" fontId="6" fillId="0" borderId="0" xfId="1" applyFont="1" applyAlignment="1">
      <alignment horizontal="left" indent="3"/>
    </xf>
    <xf numFmtId="0" fontId="2" fillId="0" borderId="0" xfId="1" applyAlignment="1">
      <alignment horizontal="left" indent="3"/>
    </xf>
    <xf numFmtId="0" fontId="18" fillId="0" borderId="0" xfId="1" applyFont="1" applyAlignment="1">
      <alignment horizontal="right"/>
    </xf>
    <xf numFmtId="14" fontId="18" fillId="0" borderId="0" xfId="1" applyNumberFormat="1" applyFont="1" applyAlignment="1">
      <alignment horizontal="right"/>
    </xf>
    <xf numFmtId="164" fontId="6" fillId="0" borderId="49" xfId="1" applyNumberFormat="1" applyFont="1" applyBorder="1"/>
    <xf numFmtId="0" fontId="2" fillId="0" borderId="0" xfId="2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2" borderId="0" xfId="2" applyFont="1" applyFill="1" applyAlignment="1">
      <alignment horizontal="left"/>
    </xf>
    <xf numFmtId="0" fontId="5" fillId="2" borderId="0" xfId="2" applyFont="1" applyFill="1"/>
    <xf numFmtId="0" fontId="5" fillId="0" borderId="0" xfId="2" applyFont="1"/>
    <xf numFmtId="14" fontId="5" fillId="0" borderId="0" xfId="2" applyNumberFormat="1" applyFont="1" applyAlignment="1">
      <alignment horizontal="right"/>
    </xf>
    <xf numFmtId="164" fontId="5" fillId="0" borderId="0" xfId="2" applyNumberFormat="1" applyFont="1"/>
    <xf numFmtId="0" fontId="6" fillId="0" borderId="13" xfId="2" applyFont="1" applyBorder="1"/>
    <xf numFmtId="164" fontId="6" fillId="0" borderId="14" xfId="2" applyNumberFormat="1" applyFont="1" applyBorder="1"/>
    <xf numFmtId="164" fontId="6" fillId="0" borderId="15" xfId="2" applyNumberFormat="1" applyFont="1" applyBorder="1"/>
    <xf numFmtId="164" fontId="6" fillId="0" borderId="16" xfId="2" applyNumberFormat="1" applyFont="1" applyBorder="1"/>
    <xf numFmtId="164" fontId="6" fillId="0" borderId="17" xfId="2" applyNumberFormat="1" applyFont="1" applyBorder="1"/>
    <xf numFmtId="164" fontId="6" fillId="0" borderId="18" xfId="2" applyNumberFormat="1" applyFont="1" applyBorder="1"/>
    <xf numFmtId="0" fontId="6" fillId="0" borderId="19" xfId="2" applyFont="1" applyBorder="1"/>
    <xf numFmtId="164" fontId="6" fillId="0" borderId="20" xfId="2" applyNumberFormat="1" applyFont="1" applyBorder="1"/>
    <xf numFmtId="164" fontId="6" fillId="0" borderId="21" xfId="2" applyNumberFormat="1" applyFont="1" applyBorder="1"/>
    <xf numFmtId="164" fontId="6" fillId="0" borderId="22" xfId="2" applyNumberFormat="1" applyFont="1" applyBorder="1"/>
    <xf numFmtId="164" fontId="6" fillId="4" borderId="20" xfId="2" applyNumberFormat="1" applyFont="1" applyFill="1" applyBorder="1"/>
    <xf numFmtId="164" fontId="6" fillId="4" borderId="14" xfId="2" applyNumberFormat="1" applyFont="1" applyFill="1" applyBorder="1"/>
    <xf numFmtId="0" fontId="5" fillId="0" borderId="26" xfId="2" applyFont="1" applyBorder="1"/>
    <xf numFmtId="164" fontId="5" fillId="0" borderId="27" xfId="2" applyNumberFormat="1" applyFont="1" applyBorder="1"/>
    <xf numFmtId="2" fontId="5" fillId="0" borderId="28" xfId="2" applyNumberFormat="1" applyFont="1" applyBorder="1"/>
    <xf numFmtId="2" fontId="5" fillId="0" borderId="29" xfId="2" applyNumberFormat="1" applyFont="1" applyBorder="1"/>
    <xf numFmtId="165" fontId="5" fillId="0" borderId="0" xfId="2" applyNumberFormat="1" applyFont="1"/>
    <xf numFmtId="4" fontId="5" fillId="0" borderId="0" xfId="2" applyNumberFormat="1" applyFont="1"/>
    <xf numFmtId="0" fontId="7" fillId="0" borderId="0" xfId="2" applyFont="1"/>
    <xf numFmtId="164" fontId="2" fillId="0" borderId="0" xfId="2" applyNumberFormat="1"/>
    <xf numFmtId="0" fontId="5" fillId="0" borderId="0" xfId="2" applyFont="1" applyAlignment="1">
      <alignment horizontal="right"/>
    </xf>
    <xf numFmtId="0" fontId="6" fillId="0" borderId="31" xfId="2" applyFont="1" applyBorder="1"/>
    <xf numFmtId="164" fontId="6" fillId="0" borderId="2" xfId="2" applyNumberFormat="1" applyFont="1" applyBorder="1"/>
    <xf numFmtId="164" fontId="6" fillId="0" borderId="32" xfId="2" applyNumberFormat="1" applyFont="1" applyBorder="1"/>
    <xf numFmtId="164" fontId="6" fillId="0" borderId="33" xfId="2" applyNumberFormat="1" applyFont="1" applyBorder="1"/>
    <xf numFmtId="164" fontId="6" fillId="0" borderId="34" xfId="2" applyNumberFormat="1" applyFont="1" applyBorder="1"/>
    <xf numFmtId="164" fontId="6" fillId="0" borderId="35" xfId="2" applyNumberFormat="1" applyFont="1" applyBorder="1"/>
    <xf numFmtId="10" fontId="6" fillId="0" borderId="13" xfId="2" applyNumberFormat="1" applyFont="1" applyBorder="1" applyAlignment="1">
      <alignment horizontal="center"/>
    </xf>
    <xf numFmtId="0" fontId="6" fillId="0" borderId="36" xfId="2" applyFont="1" applyBorder="1"/>
    <xf numFmtId="164" fontId="6" fillId="0" borderId="36" xfId="2" applyNumberFormat="1" applyFont="1" applyBorder="1"/>
    <xf numFmtId="164" fontId="6" fillId="0" borderId="37" xfId="2" applyNumberFormat="1" applyFont="1" applyBorder="1"/>
    <xf numFmtId="10" fontId="6" fillId="0" borderId="19" xfId="2" applyNumberFormat="1" applyFont="1" applyBorder="1" applyAlignment="1">
      <alignment horizontal="center"/>
    </xf>
    <xf numFmtId="164" fontId="6" fillId="0" borderId="30" xfId="2" applyNumberFormat="1" applyFont="1" applyBorder="1"/>
    <xf numFmtId="164" fontId="6" fillId="0" borderId="38" xfId="2" applyNumberFormat="1" applyFont="1" applyBorder="1"/>
    <xf numFmtId="164" fontId="5" fillId="0" borderId="45" xfId="2" applyNumberFormat="1" applyFont="1" applyBorder="1"/>
    <xf numFmtId="2" fontId="5" fillId="0" borderId="7" xfId="2" applyNumberFormat="1" applyFont="1" applyBorder="1"/>
    <xf numFmtId="2" fontId="5" fillId="0" borderId="46" xfId="2" applyNumberFormat="1" applyFont="1" applyBorder="1"/>
    <xf numFmtId="164" fontId="5" fillId="2" borderId="27" xfId="2" applyNumberFormat="1" applyFont="1" applyFill="1" applyBorder="1"/>
    <xf numFmtId="2" fontId="5" fillId="2" borderId="29" xfId="2" applyNumberFormat="1" applyFont="1" applyFill="1" applyBorder="1"/>
    <xf numFmtId="0" fontId="2" fillId="0" borderId="54" xfId="2" applyBorder="1"/>
    <xf numFmtId="4" fontId="6" fillId="0" borderId="0" xfId="2" applyNumberFormat="1" applyFont="1"/>
    <xf numFmtId="165" fontId="12" fillId="0" borderId="0" xfId="2" applyNumberFormat="1" applyFont="1"/>
    <xf numFmtId="4" fontId="2" fillId="0" borderId="0" xfId="2" applyNumberFormat="1"/>
    <xf numFmtId="164" fontId="5" fillId="4" borderId="45" xfId="1" applyNumberFormat="1" applyFont="1" applyFill="1" applyBorder="1"/>
    <xf numFmtId="164" fontId="5" fillId="4" borderId="55" xfId="1" applyNumberFormat="1" applyFont="1" applyFill="1" applyBorder="1"/>
    <xf numFmtId="164" fontId="5" fillId="4" borderId="47" xfId="1" applyNumberFormat="1" applyFont="1" applyFill="1" applyBorder="1"/>
    <xf numFmtId="2" fontId="5" fillId="0" borderId="8" xfId="1" applyNumberFormat="1" applyFont="1" applyBorder="1"/>
    <xf numFmtId="164" fontId="6" fillId="3" borderId="17" xfId="1" applyNumberFormat="1" applyFont="1" applyFill="1" applyBorder="1"/>
    <xf numFmtId="164" fontId="6" fillId="3" borderId="14" xfId="1" applyNumberFormat="1" applyFont="1" applyFill="1" applyBorder="1"/>
    <xf numFmtId="164" fontId="6" fillId="3" borderId="20" xfId="1" applyNumberFormat="1" applyFont="1" applyFill="1" applyBorder="1"/>
    <xf numFmtId="164" fontId="6" fillId="4" borderId="20" xfId="1" applyNumberFormat="1" applyFont="1" applyFill="1" applyBorder="1"/>
    <xf numFmtId="164" fontId="6" fillId="4" borderId="10" xfId="1" applyNumberFormat="1" applyFont="1" applyFill="1" applyBorder="1"/>
    <xf numFmtId="164" fontId="10" fillId="3" borderId="47" xfId="1" applyNumberFormat="1" applyFont="1" applyFill="1" applyBorder="1"/>
    <xf numFmtId="164" fontId="5" fillId="3" borderId="26" xfId="1" applyNumberFormat="1" applyFont="1" applyFill="1" applyBorder="1"/>
    <xf numFmtId="164" fontId="5" fillId="3" borderId="6" xfId="1" applyNumberFormat="1" applyFont="1" applyFill="1" applyBorder="1"/>
    <xf numFmtId="164" fontId="5" fillId="3" borderId="26" xfId="2" applyNumberFormat="1" applyFont="1" applyFill="1" applyBorder="1"/>
    <xf numFmtId="164" fontId="6" fillId="4" borderId="17" xfId="2" applyNumberFormat="1" applyFont="1" applyFill="1" applyBorder="1"/>
    <xf numFmtId="164" fontId="6" fillId="4" borderId="10" xfId="2" applyNumberFormat="1" applyFont="1" applyFill="1" applyBorder="1"/>
    <xf numFmtId="164" fontId="10" fillId="3" borderId="47" xfId="2" applyNumberFormat="1" applyFont="1" applyFill="1" applyBorder="1"/>
    <xf numFmtId="164" fontId="5" fillId="3" borderId="6" xfId="2" applyNumberFormat="1" applyFont="1" applyFill="1" applyBorder="1"/>
    <xf numFmtId="14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right"/>
    </xf>
    <xf numFmtId="164" fontId="6" fillId="0" borderId="20" xfId="0" applyNumberFormat="1" applyFont="1" applyBorder="1"/>
    <xf numFmtId="164" fontId="6" fillId="0" borderId="14" xfId="0" applyNumberFormat="1" applyFont="1" applyBorder="1"/>
    <xf numFmtId="3" fontId="6" fillId="0" borderId="14" xfId="0" applyNumberFormat="1" applyFont="1" applyBorder="1"/>
    <xf numFmtId="164" fontId="6" fillId="0" borderId="38" xfId="0" applyNumberFormat="1" applyFont="1" applyBorder="1"/>
    <xf numFmtId="164" fontId="6" fillId="0" borderId="24" xfId="2" applyNumberFormat="1" applyFont="1" applyBorder="1"/>
    <xf numFmtId="164" fontId="6" fillId="0" borderId="25" xfId="2" applyNumberFormat="1" applyFont="1" applyBorder="1"/>
    <xf numFmtId="164" fontId="6" fillId="0" borderId="12" xfId="2" applyNumberFormat="1" applyFont="1" applyBorder="1"/>
    <xf numFmtId="164" fontId="6" fillId="0" borderId="40" xfId="2" applyNumberFormat="1" applyFont="1" applyBorder="1"/>
    <xf numFmtId="164" fontId="6" fillId="0" borderId="6" xfId="2" applyNumberFormat="1" applyFont="1" applyBorder="1"/>
    <xf numFmtId="164" fontId="6" fillId="0" borderId="41" xfId="2" applyNumberFormat="1" applyFont="1" applyBorder="1"/>
    <xf numFmtId="164" fontId="6" fillId="0" borderId="42" xfId="2" applyNumberFormat="1" applyFont="1" applyBorder="1"/>
    <xf numFmtId="164" fontId="6" fillId="0" borderId="43" xfId="2" applyNumberFormat="1" applyFont="1" applyBorder="1"/>
    <xf numFmtId="164" fontId="6" fillId="0" borderId="44" xfId="2" applyNumberFormat="1" applyFont="1" applyBorder="1"/>
    <xf numFmtId="0" fontId="6" fillId="0" borderId="39" xfId="2" applyFont="1" applyBorder="1"/>
    <xf numFmtId="0" fontId="6" fillId="0" borderId="23" xfId="2" applyFont="1" applyBorder="1"/>
    <xf numFmtId="164" fontId="6" fillId="0" borderId="49" xfId="2" applyNumberFormat="1" applyFont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/>
    <xf numFmtId="14" fontId="5" fillId="0" borderId="0" xfId="0" applyNumberFormat="1" applyFont="1" applyAlignment="1">
      <alignment horizontal="right"/>
    </xf>
    <xf numFmtId="164" fontId="5" fillId="0" borderId="0" xfId="0" applyNumberFormat="1" applyFont="1"/>
    <xf numFmtId="164" fontId="6" fillId="4" borderId="14" xfId="0" applyNumberFormat="1" applyFont="1" applyFill="1" applyBorder="1"/>
    <xf numFmtId="164" fontId="6" fillId="4" borderId="17" xfId="0" applyNumberFormat="1" applyFont="1" applyFill="1" applyBorder="1"/>
    <xf numFmtId="0" fontId="2" fillId="0" borderId="0" xfId="0" applyFont="1"/>
    <xf numFmtId="0" fontId="6" fillId="0" borderId="19" xfId="0" applyFont="1" applyBorder="1"/>
    <xf numFmtId="164" fontId="6" fillId="0" borderId="21" xfId="0" applyNumberFormat="1" applyFont="1" applyBorder="1"/>
    <xf numFmtId="164" fontId="6" fillId="0" borderId="16" xfId="0" applyNumberFormat="1" applyFont="1" applyBorder="1"/>
    <xf numFmtId="164" fontId="6" fillId="0" borderId="22" xfId="0" applyNumberFormat="1" applyFont="1" applyBorder="1"/>
    <xf numFmtId="0" fontId="5" fillId="0" borderId="26" xfId="0" applyFont="1" applyBorder="1"/>
    <xf numFmtId="164" fontId="5" fillId="0" borderId="27" xfId="0" applyNumberFormat="1" applyFont="1" applyBorder="1"/>
    <xf numFmtId="2" fontId="5" fillId="0" borderId="28" xfId="0" applyNumberFormat="1" applyFont="1" applyBorder="1"/>
    <xf numFmtId="2" fontId="5" fillId="0" borderId="29" xfId="0" applyNumberFormat="1" applyFont="1" applyBorder="1"/>
    <xf numFmtId="165" fontId="5" fillId="0" borderId="0" xfId="0" applyNumberFormat="1" applyFont="1"/>
    <xf numFmtId="4" fontId="5" fillId="0" borderId="0" xfId="0" applyNumberFormat="1" applyFont="1"/>
    <xf numFmtId="0" fontId="7" fillId="0" borderId="0" xfId="0" applyFont="1"/>
    <xf numFmtId="164" fontId="0" fillId="0" borderId="0" xfId="0" applyNumberFormat="1"/>
    <xf numFmtId="0" fontId="5" fillId="0" borderId="0" xfId="0" applyFont="1" applyAlignment="1">
      <alignment horizontal="right"/>
    </xf>
    <xf numFmtId="0" fontId="6" fillId="0" borderId="36" xfId="0" applyFont="1" applyBorder="1"/>
    <xf numFmtId="164" fontId="6" fillId="0" borderId="36" xfId="0" applyNumberFormat="1" applyFont="1" applyBorder="1"/>
    <xf numFmtId="164" fontId="6" fillId="0" borderId="37" xfId="0" applyNumberFormat="1" applyFont="1" applyBorder="1"/>
    <xf numFmtId="10" fontId="6" fillId="0" borderId="19" xfId="0" applyNumberFormat="1" applyFont="1" applyBorder="1" applyAlignment="1">
      <alignment horizontal="center"/>
    </xf>
    <xf numFmtId="164" fontId="6" fillId="0" borderId="30" xfId="0" applyNumberFormat="1" applyFont="1" applyBorder="1"/>
    <xf numFmtId="164" fontId="6" fillId="4" borderId="20" xfId="0" applyNumberFormat="1" applyFont="1" applyFill="1" applyBorder="1"/>
    <xf numFmtId="164" fontId="6" fillId="4" borderId="10" xfId="0" applyNumberFormat="1" applyFont="1" applyFill="1" applyBorder="1"/>
    <xf numFmtId="164" fontId="5" fillId="0" borderId="29" xfId="0" applyNumberFormat="1" applyFont="1" applyBorder="1"/>
    <xf numFmtId="164" fontId="5" fillId="0" borderId="45" xfId="0" applyNumberFormat="1" applyFont="1" applyBorder="1"/>
    <xf numFmtId="2" fontId="5" fillId="0" borderId="7" xfId="0" applyNumberFormat="1" applyFont="1" applyBorder="1"/>
    <xf numFmtId="2" fontId="5" fillId="0" borderId="46" xfId="0" applyNumberFormat="1" applyFont="1" applyBorder="1"/>
    <xf numFmtId="164" fontId="5" fillId="2" borderId="27" xfId="0" applyNumberFormat="1" applyFont="1" applyFill="1" applyBorder="1"/>
    <xf numFmtId="2" fontId="5" fillId="2" borderId="29" xfId="0" applyNumberFormat="1" applyFont="1" applyFill="1" applyBorder="1"/>
    <xf numFmtId="0" fontId="0" fillId="0" borderId="54" xfId="0" applyBorder="1"/>
    <xf numFmtId="4" fontId="6" fillId="0" borderId="0" xfId="0" applyNumberFormat="1" applyFont="1"/>
    <xf numFmtId="165" fontId="12" fillId="0" borderId="0" xfId="0" applyNumberFormat="1" applyFont="1"/>
    <xf numFmtId="4" fontId="0" fillId="0" borderId="0" xfId="0" applyNumberFormat="1"/>
    <xf numFmtId="164" fontId="6" fillId="0" borderId="15" xfId="0" applyNumberFormat="1" applyFont="1" applyBorder="1"/>
    <xf numFmtId="164" fontId="6" fillId="0" borderId="17" xfId="0" applyNumberFormat="1" applyFont="1" applyBorder="1"/>
    <xf numFmtId="164" fontId="6" fillId="0" borderId="18" xfId="0" applyNumberFormat="1" applyFont="1" applyBorder="1"/>
    <xf numFmtId="164" fontId="6" fillId="0" borderId="2" xfId="0" applyNumberFormat="1" applyFont="1" applyBorder="1"/>
    <xf numFmtId="164" fontId="6" fillId="0" borderId="32" xfId="0" applyNumberFormat="1" applyFont="1" applyBorder="1"/>
    <xf numFmtId="164" fontId="6" fillId="0" borderId="33" xfId="0" applyNumberFormat="1" applyFont="1" applyBorder="1"/>
    <xf numFmtId="164" fontId="6" fillId="0" borderId="34" xfId="0" applyNumberFormat="1" applyFont="1" applyBorder="1"/>
    <xf numFmtId="164" fontId="6" fillId="0" borderId="35" xfId="0" applyNumberFormat="1" applyFont="1" applyBorder="1"/>
    <xf numFmtId="10" fontId="6" fillId="0" borderId="13" xfId="0" applyNumberFormat="1" applyFont="1" applyBorder="1" applyAlignment="1">
      <alignment horizontal="center"/>
    </xf>
    <xf numFmtId="0" fontId="6" fillId="0" borderId="13" xfId="0" applyFont="1" applyBorder="1"/>
    <xf numFmtId="0" fontId="6" fillId="0" borderId="31" xfId="0" applyFont="1" applyBorder="1"/>
    <xf numFmtId="3" fontId="5" fillId="2" borderId="0" xfId="2" applyNumberFormat="1" applyFont="1" applyFill="1" applyAlignment="1">
      <alignment horizontal="left"/>
    </xf>
    <xf numFmtId="3" fontId="5" fillId="2" borderId="0" xfId="2" applyNumberFormat="1" applyFont="1" applyFill="1"/>
    <xf numFmtId="3" fontId="5" fillId="0" borderId="0" xfId="2" applyNumberFormat="1" applyFont="1" applyAlignment="1">
      <alignment horizontal="right"/>
    </xf>
    <xf numFmtId="4" fontId="22" fillId="0" borderId="56" xfId="2" applyNumberFormat="1" applyFont="1" applyBorder="1" applyAlignment="1">
      <alignment horizontal="center"/>
    </xf>
    <xf numFmtId="4" fontId="22" fillId="0" borderId="48" xfId="2" applyNumberFormat="1" applyFont="1" applyBorder="1" applyAlignment="1">
      <alignment horizontal="center"/>
    </xf>
    <xf numFmtId="0" fontId="23" fillId="2" borderId="56" xfId="2" applyFont="1" applyFill="1" applyBorder="1" applyAlignment="1">
      <alignment horizontal="center"/>
    </xf>
    <xf numFmtId="4" fontId="22" fillId="2" borderId="56" xfId="2" applyNumberFormat="1" applyFont="1" applyFill="1" applyBorder="1" applyAlignment="1">
      <alignment horizontal="center"/>
    </xf>
    <xf numFmtId="4" fontId="22" fillId="0" borderId="57" xfId="2" applyNumberFormat="1" applyFont="1" applyBorder="1" applyAlignment="1">
      <alignment horizontal="center"/>
    </xf>
    <xf numFmtId="4" fontId="22" fillId="0" borderId="49" xfId="2" applyNumberFormat="1" applyFont="1" applyBorder="1" applyAlignment="1">
      <alignment horizontal="center"/>
    </xf>
    <xf numFmtId="3" fontId="2" fillId="0" borderId="0" xfId="2" applyNumberFormat="1"/>
    <xf numFmtId="3" fontId="5" fillId="0" borderId="0" xfId="2" applyNumberFormat="1" applyFont="1"/>
    <xf numFmtId="0" fontId="22" fillId="3" borderId="0" xfId="2" applyFont="1" applyFill="1" applyAlignment="1">
      <alignment horizontal="center"/>
    </xf>
    <xf numFmtId="4" fontId="22" fillId="3" borderId="57" xfId="2" applyNumberFormat="1" applyFont="1" applyFill="1" applyBorder="1" applyAlignment="1">
      <alignment horizontal="center"/>
    </xf>
    <xf numFmtId="164" fontId="5" fillId="3" borderId="26" xfId="0" applyNumberFormat="1" applyFont="1" applyFill="1" applyBorder="1"/>
    <xf numFmtId="164" fontId="10" fillId="3" borderId="47" xfId="0" applyNumberFormat="1" applyFont="1" applyFill="1" applyBorder="1"/>
    <xf numFmtId="164" fontId="5" fillId="3" borderId="6" xfId="0" applyNumberFormat="1" applyFont="1" applyFill="1" applyBorder="1"/>
    <xf numFmtId="164" fontId="6" fillId="6" borderId="20" xfId="0" applyNumberFormat="1" applyFont="1" applyFill="1" applyBorder="1"/>
    <xf numFmtId="164" fontId="6" fillId="6" borderId="21" xfId="0" applyNumberFormat="1" applyFont="1" applyFill="1" applyBorder="1"/>
    <xf numFmtId="164" fontId="6" fillId="6" borderId="16" xfId="0" applyNumberFormat="1" applyFont="1" applyFill="1" applyBorder="1"/>
    <xf numFmtId="164" fontId="6" fillId="6" borderId="14" xfId="0" applyNumberFormat="1" applyFont="1" applyFill="1" applyBorder="1"/>
    <xf numFmtId="164" fontId="6" fillId="6" borderId="36" xfId="0" applyNumberFormat="1" applyFont="1" applyFill="1" applyBorder="1"/>
    <xf numFmtId="164" fontId="6" fillId="6" borderId="38" xfId="0" applyNumberFormat="1" applyFont="1" applyFill="1" applyBorder="1"/>
    <xf numFmtId="10" fontId="6" fillId="6" borderId="19" xfId="0" applyNumberFormat="1" applyFont="1" applyFill="1" applyBorder="1" applyAlignment="1">
      <alignment horizontal="center"/>
    </xf>
    <xf numFmtId="0" fontId="6" fillId="6" borderId="19" xfId="0" applyFont="1" applyFill="1" applyBorder="1"/>
    <xf numFmtId="0" fontId="6" fillId="6" borderId="36" xfId="0" applyFont="1" applyFill="1" applyBorder="1"/>
    <xf numFmtId="164" fontId="6" fillId="0" borderId="24" xfId="0" applyNumberFormat="1" applyFont="1" applyBorder="1"/>
    <xf numFmtId="164" fontId="6" fillId="0" borderId="25" xfId="0" applyNumberFormat="1" applyFont="1" applyBorder="1"/>
    <xf numFmtId="164" fontId="6" fillId="0" borderId="12" xfId="0" applyNumberFormat="1" applyFont="1" applyBorder="1"/>
    <xf numFmtId="164" fontId="6" fillId="0" borderId="43" xfId="0" applyNumberFormat="1" applyFont="1" applyBorder="1"/>
    <xf numFmtId="164" fontId="6" fillId="0" borderId="44" xfId="0" applyNumberFormat="1" applyFont="1" applyBorder="1"/>
    <xf numFmtId="164" fontId="6" fillId="0" borderId="40" xfId="0" applyNumberFormat="1" applyFont="1" applyBorder="1"/>
    <xf numFmtId="164" fontId="6" fillId="0" borderId="6" xfId="0" applyNumberFormat="1" applyFont="1" applyBorder="1"/>
    <xf numFmtId="164" fontId="6" fillId="0" borderId="41" xfId="0" applyNumberFormat="1" applyFont="1" applyBorder="1"/>
    <xf numFmtId="164" fontId="6" fillId="0" borderId="42" xfId="0" applyNumberFormat="1" applyFont="1" applyBorder="1"/>
    <xf numFmtId="0" fontId="6" fillId="0" borderId="23" xfId="0" applyFont="1" applyBorder="1"/>
    <xf numFmtId="0" fontId="6" fillId="0" borderId="39" xfId="0" applyFont="1" applyBorder="1"/>
    <xf numFmtId="0" fontId="1" fillId="7" borderId="51" xfId="0" applyFont="1" applyFill="1" applyBorder="1" applyAlignment="1">
      <alignment horizontal="center" vertical="center"/>
    </xf>
    <xf numFmtId="0" fontId="1" fillId="7" borderId="53" xfId="0" applyFont="1" applyFill="1" applyBorder="1" applyAlignment="1">
      <alignment horizontal="center" vertical="center"/>
    </xf>
    <xf numFmtId="3" fontId="0" fillId="0" borderId="64" xfId="0" applyNumberFormat="1" applyBorder="1" applyAlignment="1">
      <alignment vertical="center"/>
    </xf>
    <xf numFmtId="3" fontId="0" fillId="0" borderId="65" xfId="0" applyNumberFormat="1" applyBorder="1" applyAlignment="1">
      <alignment vertical="center"/>
    </xf>
    <xf numFmtId="3" fontId="0" fillId="0" borderId="63" xfId="0" applyNumberFormat="1" applyBorder="1" applyAlignment="1">
      <alignment vertical="center"/>
    </xf>
    <xf numFmtId="3" fontId="0" fillId="0" borderId="66" xfId="0" applyNumberFormat="1" applyBorder="1" applyAlignment="1">
      <alignment vertical="center"/>
    </xf>
    <xf numFmtId="0" fontId="6" fillId="0" borderId="13" xfId="2" applyFont="1" applyBorder="1" applyAlignment="1">
      <alignment vertical="center"/>
    </xf>
    <xf numFmtId="0" fontId="6" fillId="0" borderId="19" xfId="2" applyFont="1" applyBorder="1" applyAlignment="1">
      <alignment vertical="center"/>
    </xf>
    <xf numFmtId="164" fontId="6" fillId="0" borderId="14" xfId="2" applyNumberFormat="1" applyFont="1" applyBorder="1" applyAlignment="1">
      <alignment vertical="center"/>
    </xf>
    <xf numFmtId="164" fontId="6" fillId="0" borderId="15" xfId="2" applyNumberFormat="1" applyFont="1" applyBorder="1" applyAlignment="1">
      <alignment vertical="center"/>
    </xf>
    <xf numFmtId="164" fontId="6" fillId="0" borderId="16" xfId="2" applyNumberFormat="1" applyFont="1" applyBorder="1" applyAlignment="1">
      <alignment vertical="center"/>
    </xf>
    <xf numFmtId="164" fontId="6" fillId="0" borderId="17" xfId="2" applyNumberFormat="1" applyFont="1" applyBorder="1" applyAlignment="1">
      <alignment vertical="center"/>
    </xf>
    <xf numFmtId="164" fontId="6" fillId="0" borderId="18" xfId="2" applyNumberFormat="1" applyFont="1" applyBorder="1" applyAlignment="1">
      <alignment vertical="center"/>
    </xf>
    <xf numFmtId="164" fontId="6" fillId="0" borderId="20" xfId="2" applyNumberFormat="1" applyFont="1" applyBorder="1" applyAlignment="1">
      <alignment vertical="center"/>
    </xf>
    <xf numFmtId="164" fontId="6" fillId="0" borderId="21" xfId="2" applyNumberFormat="1" applyFont="1" applyBorder="1" applyAlignment="1">
      <alignment vertical="center"/>
    </xf>
    <xf numFmtId="164" fontId="6" fillId="0" borderId="22" xfId="2" applyNumberFormat="1" applyFont="1" applyBorder="1" applyAlignment="1">
      <alignment vertical="center"/>
    </xf>
    <xf numFmtId="164" fontId="6" fillId="4" borderId="20" xfId="2" applyNumberFormat="1" applyFont="1" applyFill="1" applyBorder="1" applyAlignment="1">
      <alignment vertical="center"/>
    </xf>
    <xf numFmtId="164" fontId="6" fillId="4" borderId="14" xfId="2" applyNumberFormat="1" applyFont="1" applyFill="1" applyBorder="1" applyAlignment="1">
      <alignment vertical="center"/>
    </xf>
    <xf numFmtId="0" fontId="5" fillId="0" borderId="26" xfId="2" applyFont="1" applyBorder="1" applyAlignment="1">
      <alignment vertical="center"/>
    </xf>
    <xf numFmtId="164" fontId="5" fillId="0" borderId="27" xfId="2" applyNumberFormat="1" applyFont="1" applyBorder="1" applyAlignment="1">
      <alignment vertical="center"/>
    </xf>
    <xf numFmtId="2" fontId="5" fillId="0" borderId="28" xfId="2" applyNumberFormat="1" applyFont="1" applyBorder="1" applyAlignment="1">
      <alignment vertical="center"/>
    </xf>
    <xf numFmtId="2" fontId="5" fillId="0" borderId="29" xfId="2" applyNumberFormat="1" applyFont="1" applyBorder="1" applyAlignment="1">
      <alignment vertical="center"/>
    </xf>
    <xf numFmtId="0" fontId="6" fillId="0" borderId="31" xfId="2" applyFont="1" applyBorder="1" applyAlignment="1">
      <alignment vertical="center"/>
    </xf>
    <xf numFmtId="164" fontId="6" fillId="0" borderId="2" xfId="2" applyNumberFormat="1" applyFont="1" applyBorder="1" applyAlignment="1">
      <alignment vertical="center"/>
    </xf>
    <xf numFmtId="164" fontId="6" fillId="0" borderId="32" xfId="2" applyNumberFormat="1" applyFont="1" applyBorder="1" applyAlignment="1">
      <alignment vertical="center"/>
    </xf>
    <xf numFmtId="164" fontId="6" fillId="0" borderId="33" xfId="2" applyNumberFormat="1" applyFont="1" applyBorder="1" applyAlignment="1">
      <alignment vertical="center"/>
    </xf>
    <xf numFmtId="164" fontId="6" fillId="0" borderId="34" xfId="2" applyNumberFormat="1" applyFont="1" applyBorder="1" applyAlignment="1">
      <alignment vertical="center"/>
    </xf>
    <xf numFmtId="164" fontId="6" fillId="4" borderId="17" xfId="2" applyNumberFormat="1" applyFont="1" applyFill="1" applyBorder="1" applyAlignment="1">
      <alignment vertical="center"/>
    </xf>
    <xf numFmtId="164" fontId="6" fillId="0" borderId="35" xfId="2" applyNumberFormat="1" applyFont="1" applyBorder="1" applyAlignment="1">
      <alignment vertical="center"/>
    </xf>
    <xf numFmtId="10" fontId="6" fillId="0" borderId="13" xfId="2" applyNumberFormat="1" applyFont="1" applyBorder="1" applyAlignment="1">
      <alignment horizontal="center" vertical="center"/>
    </xf>
    <xf numFmtId="0" fontId="6" fillId="0" borderId="36" xfId="2" applyFont="1" applyBorder="1" applyAlignment="1">
      <alignment vertical="center"/>
    </xf>
    <xf numFmtId="164" fontId="6" fillId="0" borderId="36" xfId="2" applyNumberFormat="1" applyFont="1" applyBorder="1" applyAlignment="1">
      <alignment vertical="center"/>
    </xf>
    <xf numFmtId="164" fontId="6" fillId="0" borderId="37" xfId="2" applyNumberFormat="1" applyFont="1" applyBorder="1" applyAlignment="1">
      <alignment vertical="center"/>
    </xf>
    <xf numFmtId="10" fontId="6" fillId="0" borderId="19" xfId="2" applyNumberFormat="1" applyFont="1" applyBorder="1" applyAlignment="1">
      <alignment horizontal="center" vertical="center"/>
    </xf>
    <xf numFmtId="164" fontId="6" fillId="0" borderId="30" xfId="2" applyNumberFormat="1" applyFont="1" applyBorder="1" applyAlignment="1">
      <alignment vertical="center"/>
    </xf>
    <xf numFmtId="164" fontId="6" fillId="0" borderId="38" xfId="2" applyNumberFormat="1" applyFont="1" applyBorder="1" applyAlignment="1">
      <alignment vertical="center"/>
    </xf>
    <xf numFmtId="164" fontId="6" fillId="4" borderId="10" xfId="2" applyNumberFormat="1" applyFont="1" applyFill="1" applyBorder="1" applyAlignment="1">
      <alignment vertical="center"/>
    </xf>
    <xf numFmtId="164" fontId="5" fillId="0" borderId="45" xfId="2" applyNumberFormat="1" applyFont="1" applyBorder="1" applyAlignment="1">
      <alignment vertical="center"/>
    </xf>
    <xf numFmtId="2" fontId="5" fillId="0" borderId="7" xfId="2" applyNumberFormat="1" applyFont="1" applyBorder="1" applyAlignment="1">
      <alignment vertical="center"/>
    </xf>
    <xf numFmtId="2" fontId="5" fillId="0" borderId="46" xfId="2" applyNumberFormat="1" applyFont="1" applyBorder="1" applyAlignment="1">
      <alignment vertical="center"/>
    </xf>
    <xf numFmtId="164" fontId="5" fillId="2" borderId="27" xfId="2" applyNumberFormat="1" applyFont="1" applyFill="1" applyBorder="1" applyAlignment="1">
      <alignment vertical="center"/>
    </xf>
    <xf numFmtId="2" fontId="5" fillId="2" borderId="29" xfId="2" applyNumberFormat="1" applyFont="1" applyFill="1" applyBorder="1" applyAlignment="1">
      <alignment vertical="center"/>
    </xf>
    <xf numFmtId="0" fontId="2" fillId="0" borderId="54" xfId="2" applyBorder="1" applyAlignment="1">
      <alignment vertical="center"/>
    </xf>
    <xf numFmtId="0" fontId="6" fillId="0" borderId="31" xfId="0" applyFont="1" applyBorder="1" applyAlignment="1">
      <alignment vertical="center"/>
    </xf>
    <xf numFmtId="164" fontId="6" fillId="0" borderId="17" xfId="0" applyNumberFormat="1" applyFont="1" applyBorder="1" applyAlignment="1">
      <alignment vertical="center"/>
    </xf>
    <xf numFmtId="164" fontId="6" fillId="0" borderId="15" xfId="0" applyNumberFormat="1" applyFont="1" applyBorder="1" applyAlignment="1">
      <alignment vertical="center"/>
    </xf>
    <xf numFmtId="164" fontId="6" fillId="0" borderId="18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6" fillId="0" borderId="32" xfId="0" applyNumberFormat="1" applyFont="1" applyBorder="1" applyAlignment="1">
      <alignment vertical="center"/>
    </xf>
    <xf numFmtId="164" fontId="6" fillId="0" borderId="33" xfId="0" applyNumberFormat="1" applyFont="1" applyBorder="1" applyAlignment="1">
      <alignment vertical="center"/>
    </xf>
    <xf numFmtId="164" fontId="6" fillId="0" borderId="34" xfId="0" applyNumberFormat="1" applyFont="1" applyBorder="1" applyAlignment="1">
      <alignment vertical="center"/>
    </xf>
    <xf numFmtId="164" fontId="6" fillId="4" borderId="17" xfId="0" applyNumberFormat="1" applyFont="1" applyFill="1" applyBorder="1" applyAlignment="1">
      <alignment vertical="center"/>
    </xf>
    <xf numFmtId="164" fontId="6" fillId="0" borderId="35" xfId="0" applyNumberFormat="1" applyFont="1" applyBorder="1" applyAlignment="1">
      <alignment vertical="center"/>
    </xf>
    <xf numFmtId="10" fontId="6" fillId="0" borderId="13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164" fontId="6" fillId="0" borderId="20" xfId="0" applyNumberFormat="1" applyFont="1" applyBorder="1" applyAlignment="1">
      <alignment vertical="center"/>
    </xf>
    <xf numFmtId="164" fontId="6" fillId="0" borderId="21" xfId="0" applyNumberFormat="1" applyFont="1" applyBorder="1" applyAlignment="1">
      <alignment vertical="center"/>
    </xf>
    <xf numFmtId="164" fontId="6" fillId="0" borderId="16" xfId="0" applyNumberFormat="1" applyFont="1" applyBorder="1" applyAlignment="1">
      <alignment vertical="center"/>
    </xf>
    <xf numFmtId="164" fontId="6" fillId="0" borderId="36" xfId="0" applyNumberFormat="1" applyFont="1" applyBorder="1" applyAlignment="1">
      <alignment vertical="center"/>
    </xf>
    <xf numFmtId="164" fontId="6" fillId="0" borderId="37" xfId="0" applyNumberFormat="1" applyFont="1" applyBorder="1" applyAlignment="1">
      <alignment vertical="center"/>
    </xf>
    <xf numFmtId="164" fontId="6" fillId="0" borderId="22" xfId="0" applyNumberFormat="1" applyFont="1" applyBorder="1" applyAlignment="1">
      <alignment vertical="center"/>
    </xf>
    <xf numFmtId="164" fontId="6" fillId="4" borderId="14" xfId="0" applyNumberFormat="1" applyFont="1" applyFill="1" applyBorder="1" applyAlignment="1">
      <alignment vertical="center"/>
    </xf>
    <xf numFmtId="10" fontId="6" fillId="0" borderId="19" xfId="0" applyNumberFormat="1" applyFont="1" applyBorder="1" applyAlignment="1">
      <alignment horizontal="center" vertical="center"/>
    </xf>
    <xf numFmtId="164" fontId="6" fillId="0" borderId="30" xfId="0" applyNumberFormat="1" applyFont="1" applyBorder="1" applyAlignment="1">
      <alignment vertical="center"/>
    </xf>
    <xf numFmtId="164" fontId="6" fillId="4" borderId="20" xfId="0" applyNumberFormat="1" applyFont="1" applyFill="1" applyBorder="1" applyAlignment="1">
      <alignment vertical="center"/>
    </xf>
    <xf numFmtId="164" fontId="6" fillId="0" borderId="38" xfId="0" applyNumberFormat="1" applyFont="1" applyBorder="1" applyAlignment="1">
      <alignment vertical="center"/>
    </xf>
    <xf numFmtId="164" fontId="6" fillId="4" borderId="10" xfId="0" applyNumberFormat="1" applyFont="1" applyFill="1" applyBorder="1" applyAlignment="1">
      <alignment vertical="center"/>
    </xf>
    <xf numFmtId="0" fontId="5" fillId="0" borderId="26" xfId="0" applyFont="1" applyBorder="1" applyAlignment="1">
      <alignment vertical="center"/>
    </xf>
    <xf numFmtId="164" fontId="5" fillId="0" borderId="27" xfId="0" applyNumberFormat="1" applyFont="1" applyBorder="1" applyAlignment="1">
      <alignment vertical="center"/>
    </xf>
    <xf numFmtId="164" fontId="5" fillId="0" borderId="29" xfId="0" applyNumberFormat="1" applyFont="1" applyBorder="1" applyAlignment="1">
      <alignment vertical="center"/>
    </xf>
    <xf numFmtId="164" fontId="5" fillId="0" borderId="45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center"/>
    </xf>
    <xf numFmtId="2" fontId="5" fillId="0" borderId="46" xfId="0" applyNumberFormat="1" applyFont="1" applyBorder="1" applyAlignment="1">
      <alignment vertical="center"/>
    </xf>
    <xf numFmtId="164" fontId="5" fillId="2" borderId="27" xfId="0" applyNumberFormat="1" applyFont="1" applyFill="1" applyBorder="1" applyAlignment="1">
      <alignment vertical="center"/>
    </xf>
    <xf numFmtId="2" fontId="5" fillId="2" borderId="29" xfId="0" applyNumberFormat="1" applyFont="1" applyFill="1" applyBorder="1" applyAlignment="1">
      <alignment vertical="center"/>
    </xf>
    <xf numFmtId="0" fontId="0" fillId="0" borderId="54" xfId="0" applyBorder="1" applyAlignment="1">
      <alignment vertical="center"/>
    </xf>
    <xf numFmtId="0" fontId="6" fillId="0" borderId="13" xfId="0" applyFont="1" applyBorder="1" applyAlignment="1">
      <alignment vertical="center"/>
    </xf>
    <xf numFmtId="164" fontId="6" fillId="0" borderId="14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2" fontId="5" fillId="0" borderId="28" xfId="0" applyNumberFormat="1" applyFont="1" applyBorder="1" applyAlignment="1">
      <alignment vertical="center"/>
    </xf>
    <xf numFmtId="2" fontId="5" fillId="0" borderId="29" xfId="0" applyNumberFormat="1" applyFont="1" applyBorder="1" applyAlignment="1">
      <alignment vertical="center"/>
    </xf>
    <xf numFmtId="164" fontId="6" fillId="0" borderId="24" xfId="0" applyNumberFormat="1" applyFont="1" applyBorder="1" applyAlignment="1">
      <alignment vertical="center"/>
    </xf>
    <xf numFmtId="164" fontId="6" fillId="0" borderId="25" xfId="0" applyNumberFormat="1" applyFont="1" applyBorder="1" applyAlignment="1">
      <alignment vertical="center"/>
    </xf>
    <xf numFmtId="164" fontId="6" fillId="0" borderId="12" xfId="0" applyNumberFormat="1" applyFont="1" applyBorder="1" applyAlignment="1">
      <alignment vertical="center"/>
    </xf>
    <xf numFmtId="164" fontId="6" fillId="0" borderId="40" xfId="0" applyNumberFormat="1" applyFont="1" applyBorder="1" applyAlignment="1">
      <alignment vertical="center"/>
    </xf>
    <xf numFmtId="164" fontId="6" fillId="0" borderId="6" xfId="0" applyNumberFormat="1" applyFont="1" applyBorder="1" applyAlignment="1">
      <alignment vertical="center"/>
    </xf>
    <xf numFmtId="164" fontId="6" fillId="0" borderId="41" xfId="0" applyNumberFormat="1" applyFont="1" applyBorder="1" applyAlignment="1">
      <alignment vertical="center"/>
    </xf>
    <xf numFmtId="164" fontId="6" fillId="0" borderId="42" xfId="0" applyNumberFormat="1" applyFont="1" applyBorder="1" applyAlignment="1">
      <alignment vertical="center"/>
    </xf>
    <xf numFmtId="164" fontId="6" fillId="0" borderId="43" xfId="0" applyNumberFormat="1" applyFont="1" applyBorder="1" applyAlignment="1">
      <alignment vertical="center"/>
    </xf>
    <xf numFmtId="164" fontId="6" fillId="0" borderId="44" xfId="0" applyNumberFormat="1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164" fontId="6" fillId="0" borderId="24" xfId="2" applyNumberFormat="1" applyFont="1" applyBorder="1" applyAlignment="1">
      <alignment vertical="center"/>
    </xf>
    <xf numFmtId="164" fontId="6" fillId="0" borderId="25" xfId="2" applyNumberFormat="1" applyFont="1" applyBorder="1" applyAlignment="1">
      <alignment vertical="center"/>
    </xf>
    <xf numFmtId="164" fontId="6" fillId="0" borderId="12" xfId="2" applyNumberFormat="1" applyFont="1" applyBorder="1" applyAlignment="1">
      <alignment vertical="center"/>
    </xf>
    <xf numFmtId="164" fontId="6" fillId="0" borderId="40" xfId="2" applyNumberFormat="1" applyFont="1" applyBorder="1" applyAlignment="1">
      <alignment vertical="center"/>
    </xf>
    <xf numFmtId="164" fontId="6" fillId="0" borderId="6" xfId="2" applyNumberFormat="1" applyFont="1" applyBorder="1" applyAlignment="1">
      <alignment vertical="center"/>
    </xf>
    <xf numFmtId="164" fontId="6" fillId="0" borderId="49" xfId="2" applyNumberFormat="1" applyFont="1" applyBorder="1" applyAlignment="1">
      <alignment vertical="center"/>
    </xf>
    <xf numFmtId="164" fontId="6" fillId="0" borderId="42" xfId="2" applyNumberFormat="1" applyFont="1" applyBorder="1" applyAlignment="1">
      <alignment vertical="center"/>
    </xf>
    <xf numFmtId="164" fontId="6" fillId="0" borderId="43" xfId="2" applyNumberFormat="1" applyFont="1" applyBorder="1" applyAlignment="1">
      <alignment vertical="center"/>
    </xf>
    <xf numFmtId="0" fontId="6" fillId="0" borderId="23" xfId="2" applyFont="1" applyBorder="1" applyAlignment="1">
      <alignment vertical="center"/>
    </xf>
    <xf numFmtId="0" fontId="6" fillId="0" borderId="39" xfId="2" applyFont="1" applyBorder="1" applyAlignment="1">
      <alignment vertical="center"/>
    </xf>
    <xf numFmtId="165" fontId="18" fillId="0" borderId="0" xfId="0" applyNumberFormat="1" applyFont="1"/>
    <xf numFmtId="164" fontId="5" fillId="3" borderId="26" xfId="0" applyNumberFormat="1" applyFont="1" applyFill="1" applyBorder="1" applyAlignment="1">
      <alignment vertical="center"/>
    </xf>
    <xf numFmtId="164" fontId="10" fillId="3" borderId="47" xfId="0" applyNumberFormat="1" applyFont="1" applyFill="1" applyBorder="1" applyAlignment="1">
      <alignment vertical="center"/>
    </xf>
    <xf numFmtId="164" fontId="5" fillId="3" borderId="6" xfId="0" applyNumberFormat="1" applyFont="1" applyFill="1" applyBorder="1" applyAlignment="1">
      <alignment vertical="center"/>
    </xf>
    <xf numFmtId="164" fontId="5" fillId="3" borderId="26" xfId="2" applyNumberFormat="1" applyFont="1" applyFill="1" applyBorder="1" applyAlignment="1">
      <alignment vertical="center"/>
    </xf>
    <xf numFmtId="164" fontId="10" fillId="3" borderId="47" xfId="2" applyNumberFormat="1" applyFont="1" applyFill="1" applyBorder="1" applyAlignment="1">
      <alignment vertical="center"/>
    </xf>
    <xf numFmtId="164" fontId="5" fillId="3" borderId="6" xfId="2" applyNumberFormat="1" applyFont="1" applyFill="1" applyBorder="1" applyAlignment="1">
      <alignment vertical="center"/>
    </xf>
    <xf numFmtId="3" fontId="5" fillId="3" borderId="59" xfId="2" applyNumberFormat="1" applyFont="1" applyFill="1" applyBorder="1" applyAlignment="1">
      <alignment vertical="center"/>
    </xf>
    <xf numFmtId="3" fontId="5" fillId="3" borderId="0" xfId="2" applyNumberFormat="1" applyFont="1" applyFill="1" applyAlignment="1">
      <alignment vertical="center"/>
    </xf>
    <xf numFmtId="0" fontId="27" fillId="0" borderId="54" xfId="2" applyFont="1" applyBorder="1" applyAlignment="1">
      <alignment vertical="center"/>
    </xf>
    <xf numFmtId="164" fontId="5" fillId="3" borderId="47" xfId="2" applyNumberFormat="1" applyFont="1" applyFill="1" applyBorder="1" applyAlignment="1">
      <alignment vertical="center"/>
    </xf>
    <xf numFmtId="10" fontId="5" fillId="0" borderId="19" xfId="2" applyNumberFormat="1" applyFont="1" applyBorder="1" applyAlignment="1">
      <alignment horizontal="center" vertical="center"/>
    </xf>
    <xf numFmtId="164" fontId="5" fillId="0" borderId="16" xfId="2" applyNumberFormat="1" applyFont="1" applyBorder="1" applyAlignment="1">
      <alignment vertical="center"/>
    </xf>
    <xf numFmtId="164" fontId="5" fillId="0" borderId="21" xfId="2" applyNumberFormat="1" applyFont="1" applyBorder="1" applyAlignment="1">
      <alignment vertical="center"/>
    </xf>
    <xf numFmtId="164" fontId="5" fillId="4" borderId="20" xfId="2" applyNumberFormat="1" applyFont="1" applyFill="1" applyBorder="1" applyAlignment="1">
      <alignment vertical="center"/>
    </xf>
    <xf numFmtId="164" fontId="5" fillId="0" borderId="38" xfId="2" applyNumberFormat="1" applyFont="1" applyBorder="1" applyAlignment="1">
      <alignment vertical="center"/>
    </xf>
    <xf numFmtId="164" fontId="5" fillId="0" borderId="36" xfId="2" applyNumberFormat="1" applyFont="1" applyBorder="1" applyAlignment="1">
      <alignment vertical="center"/>
    </xf>
    <xf numFmtId="0" fontId="5" fillId="0" borderId="36" xfId="2" applyFont="1" applyBorder="1" applyAlignment="1">
      <alignment vertical="center"/>
    </xf>
    <xf numFmtId="164" fontId="5" fillId="0" borderId="37" xfId="2" applyNumberFormat="1" applyFont="1" applyBorder="1" applyAlignment="1">
      <alignment vertical="center"/>
    </xf>
    <xf numFmtId="10" fontId="5" fillId="0" borderId="13" xfId="2" applyNumberFormat="1" applyFont="1" applyBorder="1" applyAlignment="1">
      <alignment horizontal="center" vertical="center"/>
    </xf>
    <xf numFmtId="164" fontId="5" fillId="0" borderId="35" xfId="2" applyNumberFormat="1" applyFont="1" applyBorder="1" applyAlignment="1">
      <alignment vertical="center"/>
    </xf>
    <xf numFmtId="164" fontId="5" fillId="0" borderId="33" xfId="2" applyNumberFormat="1" applyFont="1" applyBorder="1" applyAlignment="1">
      <alignment vertical="center"/>
    </xf>
    <xf numFmtId="164" fontId="5" fillId="4" borderId="17" xfId="2" applyNumberFormat="1" applyFont="1" applyFill="1" applyBorder="1" applyAlignment="1">
      <alignment vertical="center"/>
    </xf>
    <xf numFmtId="164" fontId="5" fillId="0" borderId="34" xfId="2" applyNumberFormat="1" applyFont="1" applyBorder="1" applyAlignment="1">
      <alignment vertical="center"/>
    </xf>
    <xf numFmtId="164" fontId="5" fillId="0" borderId="32" xfId="2" applyNumberFormat="1" applyFont="1" applyBorder="1" applyAlignment="1">
      <alignment vertical="center"/>
    </xf>
    <xf numFmtId="164" fontId="5" fillId="0" borderId="18" xfId="2" applyNumberFormat="1" applyFont="1" applyBorder="1" applyAlignment="1">
      <alignment vertical="center"/>
    </xf>
    <xf numFmtId="164" fontId="5" fillId="0" borderId="15" xfId="2" applyNumberFormat="1" applyFont="1" applyBorder="1" applyAlignment="1">
      <alignment vertical="center"/>
    </xf>
    <xf numFmtId="164" fontId="5" fillId="0" borderId="2" xfId="2" applyNumberFormat="1" applyFont="1" applyBorder="1" applyAlignment="1">
      <alignment vertical="center"/>
    </xf>
    <xf numFmtId="0" fontId="5" fillId="0" borderId="31" xfId="2" applyFont="1" applyBorder="1" applyAlignment="1">
      <alignment vertical="center"/>
    </xf>
    <xf numFmtId="0" fontId="28" fillId="0" borderId="0" xfId="2" applyFont="1"/>
    <xf numFmtId="165" fontId="18" fillId="0" borderId="0" xfId="2" applyNumberFormat="1" applyFont="1"/>
    <xf numFmtId="166" fontId="2" fillId="0" borderId="0" xfId="2" applyNumberFormat="1"/>
    <xf numFmtId="4" fontId="29" fillId="0" borderId="0" xfId="2" applyNumberFormat="1" applyFont="1"/>
    <xf numFmtId="166" fontId="5" fillId="0" borderId="0" xfId="2" applyNumberFormat="1" applyFont="1"/>
    <xf numFmtId="164" fontId="5" fillId="0" borderId="29" xfId="2" applyNumberFormat="1" applyFont="1" applyBorder="1" applyAlignment="1">
      <alignment vertical="center"/>
    </xf>
    <xf numFmtId="164" fontId="5" fillId="0" borderId="20" xfId="2" applyNumberFormat="1" applyFont="1" applyBorder="1" applyAlignment="1">
      <alignment vertical="center"/>
    </xf>
    <xf numFmtId="164" fontId="5" fillId="0" borderId="14" xfId="2" applyNumberFormat="1" applyFont="1" applyBorder="1" applyAlignment="1">
      <alignment vertical="center"/>
    </xf>
    <xf numFmtId="0" fontId="5" fillId="0" borderId="19" xfId="2" applyFont="1" applyBorder="1" applyAlignment="1">
      <alignment vertical="center"/>
    </xf>
    <xf numFmtId="164" fontId="5" fillId="0" borderId="17" xfId="2" applyNumberFormat="1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3" fontId="12" fillId="0" borderId="0" xfId="2" applyNumberFormat="1" applyFont="1" applyAlignment="1">
      <alignment horizontal="right"/>
    </xf>
    <xf numFmtId="3" fontId="8" fillId="5" borderId="4" xfId="2" applyNumberFormat="1" applyFont="1" applyFill="1" applyBorder="1" applyAlignment="1">
      <alignment horizontal="center"/>
    </xf>
    <xf numFmtId="3" fontId="8" fillId="5" borderId="1" xfId="2" applyNumberFormat="1" applyFont="1" applyFill="1" applyBorder="1" applyAlignment="1">
      <alignment horizontal="center"/>
    </xf>
    <xf numFmtId="3" fontId="27" fillId="5" borderId="8" xfId="2" applyNumberFormat="1" applyFont="1" applyFill="1" applyBorder="1"/>
    <xf numFmtId="3" fontId="27" fillId="5" borderId="11" xfId="2" applyNumberFormat="1" applyFont="1" applyFill="1" applyBorder="1"/>
    <xf numFmtId="0" fontId="5" fillId="2" borderId="69" xfId="2" applyFont="1" applyFill="1" applyBorder="1" applyAlignment="1">
      <alignment vertical="center"/>
    </xf>
    <xf numFmtId="3" fontId="5" fillId="0" borderId="34" xfId="2" applyNumberFormat="1" applyFont="1" applyBorder="1" applyAlignment="1">
      <alignment vertical="center"/>
    </xf>
    <xf numFmtId="3" fontId="27" fillId="5" borderId="13" xfId="2" applyNumberFormat="1" applyFont="1" applyFill="1" applyBorder="1" applyAlignment="1">
      <alignment vertical="center"/>
    </xf>
    <xf numFmtId="3" fontId="5" fillId="0" borderId="58" xfId="2" applyNumberFormat="1" applyFont="1" applyBorder="1" applyAlignment="1">
      <alignment vertical="center"/>
    </xf>
    <xf numFmtId="0" fontId="5" fillId="2" borderId="19" xfId="2" applyFont="1" applyFill="1" applyBorder="1" applyAlignment="1">
      <alignment vertical="center"/>
    </xf>
    <xf numFmtId="3" fontId="5" fillId="0" borderId="59" xfId="2" applyNumberFormat="1" applyFont="1" applyBorder="1" applyAlignment="1">
      <alignment vertical="center"/>
    </xf>
    <xf numFmtId="3" fontId="27" fillId="5" borderId="19" xfId="2" applyNumberFormat="1" applyFont="1" applyFill="1" applyBorder="1" applyAlignment="1">
      <alignment vertical="center"/>
    </xf>
    <xf numFmtId="0" fontId="5" fillId="0" borderId="23" xfId="2" applyFont="1" applyBorder="1" applyAlignment="1">
      <alignment vertical="center"/>
    </xf>
    <xf numFmtId="3" fontId="5" fillId="0" borderId="61" xfId="2" applyNumberFormat="1" applyFont="1" applyBorder="1" applyAlignment="1">
      <alignment vertical="center"/>
    </xf>
    <xf numFmtId="3" fontId="27" fillId="5" borderId="60" xfId="2" applyNumberFormat="1" applyFont="1" applyFill="1" applyBorder="1" applyAlignment="1">
      <alignment vertical="center"/>
    </xf>
    <xf numFmtId="3" fontId="5" fillId="0" borderId="68" xfId="2" applyNumberFormat="1" applyFont="1" applyBorder="1" applyAlignment="1">
      <alignment vertical="center"/>
    </xf>
    <xf numFmtId="0" fontId="5" fillId="0" borderId="54" xfId="2" applyFont="1" applyBorder="1"/>
    <xf numFmtId="3" fontId="5" fillId="0" borderId="55" xfId="2" applyNumberFormat="1" applyFont="1" applyBorder="1"/>
    <xf numFmtId="3" fontId="5" fillId="0" borderId="62" xfId="2" applyNumberFormat="1" applyFont="1" applyBorder="1"/>
    <xf numFmtId="3" fontId="5" fillId="0" borderId="28" xfId="2" applyNumberFormat="1" applyFont="1" applyBorder="1"/>
    <xf numFmtId="3" fontId="27" fillId="5" borderId="54" xfId="2" applyNumberFormat="1" applyFont="1" applyFill="1" applyBorder="1"/>
    <xf numFmtId="3" fontId="5" fillId="0" borderId="27" xfId="2" applyNumberFormat="1" applyFont="1" applyBorder="1"/>
    <xf numFmtId="0" fontId="27" fillId="0" borderId="56" xfId="2" applyFont="1" applyBorder="1"/>
    <xf numFmtId="0" fontId="27" fillId="3" borderId="56" xfId="2" applyFont="1" applyFill="1" applyBorder="1"/>
    <xf numFmtId="3" fontId="5" fillId="3" borderId="34" xfId="2" applyNumberFormat="1" applyFont="1" applyFill="1" applyBorder="1" applyAlignment="1">
      <alignment vertical="center"/>
    </xf>
    <xf numFmtId="3" fontId="5" fillId="3" borderId="58" xfId="2" applyNumberFormat="1" applyFont="1" applyFill="1" applyBorder="1" applyAlignment="1">
      <alignment vertical="center"/>
    </xf>
    <xf numFmtId="3" fontId="27" fillId="5" borderId="5" xfId="2" applyNumberFormat="1" applyFont="1" applyFill="1" applyBorder="1" applyAlignment="1">
      <alignment vertical="center"/>
    </xf>
    <xf numFmtId="3" fontId="9" fillId="3" borderId="46" xfId="2" applyNumberFormat="1" applyFont="1" applyFill="1" applyBorder="1"/>
    <xf numFmtId="3" fontId="9" fillId="3" borderId="62" xfId="2" applyNumberFormat="1" applyFont="1" applyFill="1" applyBorder="1"/>
    <xf numFmtId="164" fontId="6" fillId="0" borderId="41" xfId="2" applyNumberFormat="1" applyFont="1" applyBorder="1" applyAlignment="1">
      <alignment vertical="center"/>
    </xf>
    <xf numFmtId="164" fontId="6" fillId="0" borderId="44" xfId="2" applyNumberFormat="1" applyFont="1" applyBorder="1" applyAlignment="1">
      <alignment vertical="center"/>
    </xf>
    <xf numFmtId="3" fontId="5" fillId="0" borderId="0" xfId="2" applyNumberFormat="1" applyFont="1" applyAlignment="1">
      <alignment vertical="center"/>
    </xf>
    <xf numFmtId="3" fontId="0" fillId="0" borderId="70" xfId="0" applyNumberFormat="1" applyBorder="1" applyAlignment="1">
      <alignment vertical="center"/>
    </xf>
    <xf numFmtId="3" fontId="0" fillId="0" borderId="71" xfId="0" applyNumberFormat="1" applyBorder="1" applyAlignment="1">
      <alignment vertical="center"/>
    </xf>
    <xf numFmtId="10" fontId="0" fillId="0" borderId="63" xfId="0" applyNumberFormat="1" applyBorder="1" applyAlignment="1">
      <alignment vertical="center"/>
    </xf>
    <xf numFmtId="0" fontId="1" fillId="7" borderId="72" xfId="0" applyFont="1" applyFill="1" applyBorder="1" applyAlignment="1">
      <alignment horizontal="center" vertical="center"/>
    </xf>
    <xf numFmtId="0" fontId="1" fillId="7" borderId="76" xfId="0" applyFont="1" applyFill="1" applyBorder="1" applyAlignment="1">
      <alignment horizontal="center" vertical="center"/>
    </xf>
    <xf numFmtId="0" fontId="0" fillId="0" borderId="77" xfId="0" applyBorder="1" applyAlignment="1">
      <alignment vertical="center" wrapText="1"/>
    </xf>
    <xf numFmtId="0" fontId="0" fillId="0" borderId="78" xfId="0" applyBorder="1" applyAlignment="1">
      <alignment vertical="center" wrapText="1"/>
    </xf>
    <xf numFmtId="0" fontId="0" fillId="0" borderId="78" xfId="0" applyBorder="1" applyAlignment="1">
      <alignment vertical="center"/>
    </xf>
    <xf numFmtId="0" fontId="0" fillId="0" borderId="79" xfId="0" applyBorder="1" applyAlignment="1">
      <alignment vertical="center"/>
    </xf>
    <xf numFmtId="10" fontId="1" fillId="7" borderId="81" xfId="0" applyNumberFormat="1" applyFont="1" applyFill="1" applyBorder="1" applyAlignment="1">
      <alignment vertical="center"/>
    </xf>
    <xf numFmtId="0" fontId="1" fillId="7" borderId="82" xfId="0" applyFont="1" applyFill="1" applyBorder="1" applyAlignment="1">
      <alignment vertical="center"/>
    </xf>
    <xf numFmtId="10" fontId="1" fillId="7" borderId="52" xfId="0" applyNumberFormat="1" applyFont="1" applyFill="1" applyBorder="1" applyAlignment="1">
      <alignment vertical="center"/>
    </xf>
    <xf numFmtId="0" fontId="1" fillId="7" borderId="78" xfId="0" applyFont="1" applyFill="1" applyBorder="1" applyAlignment="1">
      <alignment vertical="center"/>
    </xf>
    <xf numFmtId="3" fontId="1" fillId="7" borderId="66" xfId="0" applyNumberFormat="1" applyFont="1" applyFill="1" applyBorder="1" applyAlignment="1">
      <alignment vertical="center"/>
    </xf>
    <xf numFmtId="3" fontId="1" fillId="7" borderId="63" xfId="0" applyNumberFormat="1" applyFont="1" applyFill="1" applyBorder="1" applyAlignment="1">
      <alignment vertical="center"/>
    </xf>
    <xf numFmtId="3" fontId="1" fillId="7" borderId="67" xfId="0" applyNumberFormat="1" applyFont="1" applyFill="1" applyBorder="1" applyAlignment="1">
      <alignment vertical="center"/>
    </xf>
    <xf numFmtId="0" fontId="0" fillId="0" borderId="85" xfId="0" applyBorder="1" applyAlignment="1">
      <alignment vertical="center"/>
    </xf>
    <xf numFmtId="10" fontId="0" fillId="0" borderId="80" xfId="0" applyNumberFormat="1" applyBorder="1" applyAlignment="1">
      <alignment vertical="center"/>
    </xf>
    <xf numFmtId="0" fontId="0" fillId="8" borderId="79" xfId="0" applyFill="1" applyBorder="1" applyAlignment="1">
      <alignment vertical="center"/>
    </xf>
    <xf numFmtId="3" fontId="0" fillId="8" borderId="70" xfId="0" applyNumberFormat="1" applyFill="1" applyBorder="1" applyAlignment="1">
      <alignment vertical="center"/>
    </xf>
    <xf numFmtId="3" fontId="0" fillId="8" borderId="71" xfId="0" applyNumberFormat="1" applyFill="1" applyBorder="1" applyAlignment="1">
      <alignment vertical="center"/>
    </xf>
    <xf numFmtId="0" fontId="0" fillId="8" borderId="78" xfId="0" applyFill="1" applyBorder="1" applyAlignment="1">
      <alignment vertical="center"/>
    </xf>
    <xf numFmtId="10" fontId="0" fillId="8" borderId="63" xfId="0" applyNumberFormat="1" applyFill="1" applyBorder="1" applyAlignment="1">
      <alignment vertical="center"/>
    </xf>
    <xf numFmtId="3" fontId="0" fillId="8" borderId="63" xfId="0" applyNumberFormat="1" applyFill="1" applyBorder="1" applyAlignment="1">
      <alignment vertical="center"/>
    </xf>
    <xf numFmtId="3" fontId="0" fillId="8" borderId="66" xfId="0" applyNumberFormat="1" applyFill="1" applyBorder="1" applyAlignment="1">
      <alignment vertical="center"/>
    </xf>
    <xf numFmtId="10" fontId="0" fillId="0" borderId="66" xfId="0" applyNumberFormat="1" applyBorder="1" applyAlignment="1">
      <alignment vertical="center"/>
    </xf>
    <xf numFmtId="10" fontId="0" fillId="8" borderId="66" xfId="0" applyNumberFormat="1" applyFill="1" applyBorder="1" applyAlignment="1">
      <alignment vertical="center"/>
    </xf>
    <xf numFmtId="10" fontId="0" fillId="0" borderId="81" xfId="0" applyNumberFormat="1" applyBorder="1" applyAlignment="1">
      <alignment vertical="center"/>
    </xf>
    <xf numFmtId="3" fontId="1" fillId="7" borderId="64" xfId="0" applyNumberFormat="1" applyFont="1" applyFill="1" applyBorder="1" applyAlignment="1">
      <alignment vertical="center"/>
    </xf>
    <xf numFmtId="10" fontId="0" fillId="0" borderId="63" xfId="0" applyNumberFormat="1" applyBorder="1" applyAlignment="1">
      <alignment horizontal="right" vertical="center"/>
    </xf>
    <xf numFmtId="10" fontId="0" fillId="0" borderId="80" xfId="0" applyNumberFormat="1" applyBorder="1" applyAlignment="1">
      <alignment horizontal="right" vertical="center"/>
    </xf>
    <xf numFmtId="10" fontId="1" fillId="7" borderId="81" xfId="0" applyNumberFormat="1" applyFont="1" applyFill="1" applyBorder="1" applyAlignment="1">
      <alignment horizontal="right" vertical="center"/>
    </xf>
    <xf numFmtId="0" fontId="1" fillId="7" borderId="50" xfId="0" applyFont="1" applyFill="1" applyBorder="1" applyAlignment="1">
      <alignment vertical="center"/>
    </xf>
    <xf numFmtId="3" fontId="0" fillId="0" borderId="65" xfId="0" applyNumberFormat="1" applyBorder="1" applyAlignment="1">
      <alignment vertical="center" wrapText="1"/>
    </xf>
    <xf numFmtId="3" fontId="0" fillId="0" borderId="66" xfId="0" applyNumberFormat="1" applyBorder="1" applyAlignment="1">
      <alignment horizontal="right" vertical="center" wrapText="1"/>
    </xf>
    <xf numFmtId="3" fontId="0" fillId="8" borderId="66" xfId="0" applyNumberFormat="1" applyFill="1" applyBorder="1" applyAlignment="1">
      <alignment horizontal="right" vertical="center"/>
    </xf>
    <xf numFmtId="3" fontId="0" fillId="0" borderId="66" xfId="0" applyNumberFormat="1" applyBorder="1" applyAlignment="1">
      <alignment horizontal="right" vertical="center"/>
    </xf>
    <xf numFmtId="3" fontId="0" fillId="0" borderId="81" xfId="0" applyNumberFormat="1" applyBorder="1" applyAlignment="1">
      <alignment horizontal="right" vertical="center"/>
    </xf>
    <xf numFmtId="0" fontId="33" fillId="0" borderId="0" xfId="1" applyFont="1" applyAlignment="1">
      <alignment horizontal="center"/>
    </xf>
    <xf numFmtId="0" fontId="33" fillId="0" borderId="0" xfId="1" applyFont="1"/>
    <xf numFmtId="0" fontId="6" fillId="0" borderId="0" xfId="1" applyFont="1" applyAlignment="1">
      <alignment horizontal="left" indent="2"/>
    </xf>
    <xf numFmtId="167" fontId="0" fillId="0" borderId="63" xfId="0" applyNumberFormat="1" applyBorder="1" applyAlignment="1">
      <alignment vertical="center"/>
    </xf>
    <xf numFmtId="167" fontId="0" fillId="8" borderId="63" xfId="0" applyNumberFormat="1" applyFill="1" applyBorder="1" applyAlignment="1">
      <alignment vertical="center"/>
    </xf>
    <xf numFmtId="167" fontId="0" fillId="0" borderId="80" xfId="0" applyNumberFormat="1" applyBorder="1" applyAlignment="1">
      <alignment vertical="center"/>
    </xf>
    <xf numFmtId="167" fontId="1" fillId="7" borderId="80" xfId="0" applyNumberFormat="1" applyFont="1" applyFill="1" applyBorder="1" applyAlignment="1">
      <alignment vertical="center"/>
    </xf>
    <xf numFmtId="167" fontId="1" fillId="7" borderId="52" xfId="0" applyNumberFormat="1" applyFont="1" applyFill="1" applyBorder="1" applyAlignment="1">
      <alignment vertical="center"/>
    </xf>
    <xf numFmtId="167" fontId="1" fillId="7" borderId="50" xfId="0" applyNumberFormat="1" applyFont="1" applyFill="1" applyBorder="1" applyAlignment="1">
      <alignment vertical="center"/>
    </xf>
    <xf numFmtId="167" fontId="1" fillId="7" borderId="81" xfId="0" applyNumberFormat="1" applyFont="1" applyFill="1" applyBorder="1" applyAlignment="1">
      <alignment vertic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center"/>
    </xf>
    <xf numFmtId="164" fontId="6" fillId="0" borderId="39" xfId="2" applyNumberFormat="1" applyFont="1" applyBorder="1" applyAlignment="1">
      <alignment vertical="center"/>
    </xf>
    <xf numFmtId="164" fontId="6" fillId="0" borderId="86" xfId="2" applyNumberFormat="1" applyFont="1" applyBorder="1" applyAlignment="1">
      <alignment vertical="center"/>
    </xf>
    <xf numFmtId="164" fontId="6" fillId="0" borderId="87" xfId="2" applyNumberFormat="1" applyFont="1" applyBorder="1" applyAlignment="1">
      <alignment vertical="center"/>
    </xf>
    <xf numFmtId="10" fontId="6" fillId="0" borderId="60" xfId="2" applyNumberFormat="1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15" fillId="0" borderId="0" xfId="1" applyFont="1"/>
    <xf numFmtId="0" fontId="6" fillId="0" borderId="0" xfId="1" applyFont="1" applyAlignment="1">
      <alignment horizontal="left" indent="4"/>
    </xf>
    <xf numFmtId="0" fontId="25" fillId="0" borderId="0" xfId="0" applyFont="1" applyAlignment="1">
      <alignment horizontal="left" indent="4"/>
    </xf>
    <xf numFmtId="0" fontId="12" fillId="0" borderId="0" xfId="1" applyFont="1" applyAlignment="1">
      <alignment horizontal="left" indent="3"/>
    </xf>
    <xf numFmtId="0" fontId="12" fillId="0" borderId="0" xfId="1" applyFont="1" applyAlignment="1">
      <alignment horizontal="left" indent="2"/>
    </xf>
    <xf numFmtId="4" fontId="22" fillId="0" borderId="56" xfId="0" applyNumberFormat="1" applyFont="1" applyBorder="1" applyAlignment="1">
      <alignment horizontal="center"/>
    </xf>
    <xf numFmtId="4" fontId="22" fillId="0" borderId="48" xfId="0" applyNumberFormat="1" applyFont="1" applyBorder="1" applyAlignment="1">
      <alignment horizontal="center"/>
    </xf>
    <xf numFmtId="4" fontId="22" fillId="0" borderId="57" xfId="0" applyNumberFormat="1" applyFont="1" applyBorder="1" applyAlignment="1">
      <alignment horizontal="center"/>
    </xf>
    <xf numFmtId="4" fontId="22" fillId="0" borderId="49" xfId="0" applyNumberFormat="1" applyFont="1" applyBorder="1" applyAlignment="1">
      <alignment horizontal="center"/>
    </xf>
    <xf numFmtId="3" fontId="5" fillId="0" borderId="34" xfId="0" applyNumberFormat="1" applyFont="1" applyBorder="1" applyAlignment="1">
      <alignment vertical="center"/>
    </xf>
    <xf numFmtId="3" fontId="27" fillId="5" borderId="13" xfId="0" applyNumberFormat="1" applyFont="1" applyFill="1" applyBorder="1" applyAlignment="1">
      <alignment vertical="center"/>
    </xf>
    <xf numFmtId="3" fontId="5" fillId="0" borderId="58" xfId="0" applyNumberFormat="1" applyFont="1" applyBorder="1" applyAlignment="1">
      <alignment vertical="center"/>
    </xf>
    <xf numFmtId="3" fontId="5" fillId="0" borderId="59" xfId="0" applyNumberFormat="1" applyFont="1" applyBorder="1" applyAlignment="1">
      <alignment vertical="center"/>
    </xf>
    <xf numFmtId="3" fontId="27" fillId="5" borderId="19" xfId="0" applyNumberFormat="1" applyFont="1" applyFill="1" applyBorder="1" applyAlignment="1">
      <alignment vertical="center"/>
    </xf>
    <xf numFmtId="3" fontId="5" fillId="0" borderId="61" xfId="0" applyNumberFormat="1" applyFont="1" applyBorder="1" applyAlignment="1">
      <alignment vertical="center"/>
    </xf>
    <xf numFmtId="3" fontId="27" fillId="5" borderId="60" xfId="0" applyNumberFormat="1" applyFont="1" applyFill="1" applyBorder="1" applyAlignment="1">
      <alignment vertical="center"/>
    </xf>
    <xf numFmtId="3" fontId="5" fillId="0" borderId="68" xfId="0" applyNumberFormat="1" applyFont="1" applyBorder="1" applyAlignment="1">
      <alignment vertical="center"/>
    </xf>
    <xf numFmtId="0" fontId="22" fillId="3" borderId="0" xfId="0" applyFont="1" applyFill="1" applyAlignment="1">
      <alignment horizontal="center"/>
    </xf>
    <xf numFmtId="0" fontId="27" fillId="3" borderId="56" xfId="0" applyFont="1" applyFill="1" applyBorder="1"/>
    <xf numFmtId="4" fontId="22" fillId="3" borderId="57" xfId="0" applyNumberFormat="1" applyFont="1" applyFill="1" applyBorder="1" applyAlignment="1">
      <alignment horizontal="center"/>
    </xf>
    <xf numFmtId="3" fontId="5" fillId="3" borderId="34" xfId="0" applyNumberFormat="1" applyFont="1" applyFill="1" applyBorder="1" applyAlignment="1">
      <alignment vertical="center"/>
    </xf>
    <xf numFmtId="3" fontId="5" fillId="3" borderId="58" xfId="0" applyNumberFormat="1" applyFont="1" applyFill="1" applyBorder="1" applyAlignment="1">
      <alignment vertical="center"/>
    </xf>
    <xf numFmtId="3" fontId="5" fillId="3" borderId="59" xfId="0" applyNumberFormat="1" applyFont="1" applyFill="1" applyBorder="1" applyAlignment="1">
      <alignment vertical="center"/>
    </xf>
    <xf numFmtId="3" fontId="5" fillId="3" borderId="0" xfId="0" applyNumberFormat="1" applyFont="1" applyFill="1" applyAlignment="1">
      <alignment vertical="center"/>
    </xf>
    <xf numFmtId="3" fontId="27" fillId="5" borderId="5" xfId="0" applyNumberFormat="1" applyFont="1" applyFill="1" applyBorder="1" applyAlignment="1">
      <alignment vertical="center"/>
    </xf>
    <xf numFmtId="0" fontId="0" fillId="0" borderId="89" xfId="0" applyBorder="1"/>
    <xf numFmtId="164" fontId="6" fillId="4" borderId="16" xfId="2" applyNumberFormat="1" applyFont="1" applyFill="1" applyBorder="1" applyAlignment="1">
      <alignment vertical="center"/>
    </xf>
    <xf numFmtId="164" fontId="6" fillId="4" borderId="37" xfId="2" applyNumberFormat="1" applyFont="1" applyFill="1" applyBorder="1" applyAlignment="1">
      <alignment vertical="center"/>
    </xf>
    <xf numFmtId="10" fontId="6" fillId="4" borderId="19" xfId="2" applyNumberFormat="1" applyFont="1" applyFill="1" applyBorder="1" applyAlignment="1">
      <alignment horizontal="center" vertical="center"/>
    </xf>
    <xf numFmtId="164" fontId="6" fillId="4" borderId="21" xfId="2" applyNumberFormat="1" applyFont="1" applyFill="1" applyBorder="1" applyAlignment="1">
      <alignment vertical="center"/>
    </xf>
    <xf numFmtId="0" fontId="42" fillId="4" borderId="19" xfId="2" applyFont="1" applyFill="1" applyBorder="1" applyAlignment="1">
      <alignment vertical="center"/>
    </xf>
    <xf numFmtId="0" fontId="42" fillId="4" borderId="36" xfId="2" applyFont="1" applyFill="1" applyBorder="1" applyAlignment="1">
      <alignment vertical="center"/>
    </xf>
    <xf numFmtId="164" fontId="6" fillId="4" borderId="36" xfId="2" applyNumberFormat="1" applyFont="1" applyFill="1" applyBorder="1" applyAlignment="1">
      <alignment vertical="center"/>
    </xf>
    <xf numFmtId="164" fontId="6" fillId="4" borderId="38" xfId="2" applyNumberFormat="1" applyFont="1" applyFill="1" applyBorder="1" applyAlignment="1">
      <alignment vertical="center"/>
    </xf>
    <xf numFmtId="0" fontId="31" fillId="0" borderId="0" xfId="0" applyFont="1" applyAlignment="1">
      <alignment horizontal="center"/>
    </xf>
    <xf numFmtId="0" fontId="1" fillId="7" borderId="88" xfId="0" applyFont="1" applyFill="1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73" xfId="0" applyBorder="1" applyAlignment="1">
      <alignment vertical="center" wrapText="1"/>
    </xf>
    <xf numFmtId="0" fontId="0" fillId="0" borderId="74" xfId="0" applyBorder="1" applyAlignment="1">
      <alignment vertical="center" wrapText="1"/>
    </xf>
    <xf numFmtId="0" fontId="0" fillId="8" borderId="75" xfId="0" applyFill="1" applyBorder="1" applyAlignment="1">
      <alignment vertical="center"/>
    </xf>
    <xf numFmtId="0" fontId="0" fillId="8" borderId="74" xfId="0" applyFill="1" applyBorder="1" applyAlignment="1">
      <alignment vertical="center"/>
    </xf>
    <xf numFmtId="0" fontId="0" fillId="0" borderId="75" xfId="0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83" xfId="0" applyBorder="1" applyAlignment="1">
      <alignment vertical="center"/>
    </xf>
    <xf numFmtId="0" fontId="15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1" applyFont="1" applyAlignment="1">
      <alignment wrapText="1"/>
    </xf>
    <xf numFmtId="0" fontId="2" fillId="0" borderId="0" xfId="1" applyAlignment="1">
      <alignment wrapText="1"/>
    </xf>
    <xf numFmtId="0" fontId="5" fillId="0" borderId="48" xfId="1" applyFont="1" applyBorder="1" applyAlignment="1">
      <alignment vertical="center" wrapText="1"/>
    </xf>
    <xf numFmtId="0" fontId="2" fillId="0" borderId="49" xfId="1" applyBorder="1" applyAlignment="1">
      <alignment vertical="center" wrapText="1"/>
    </xf>
    <xf numFmtId="0" fontId="4" fillId="0" borderId="9" xfId="1" applyFont="1" applyBorder="1" applyAlignment="1">
      <alignment horizontal="left" vertical="center"/>
    </xf>
    <xf numFmtId="0" fontId="2" fillId="0" borderId="12" xfId="1" applyBorder="1" applyAlignment="1">
      <alignment horizontal="left" vertical="center"/>
    </xf>
    <xf numFmtId="0" fontId="5" fillId="0" borderId="15" xfId="1" applyFont="1" applyBorder="1" applyAlignment="1">
      <alignment vertical="center" wrapText="1"/>
    </xf>
    <xf numFmtId="0" fontId="2" fillId="0" borderId="45" xfId="1" applyBorder="1" applyAlignment="1">
      <alignment vertical="center" wrapText="1"/>
    </xf>
    <xf numFmtId="0" fontId="2" fillId="0" borderId="45" xfId="1" applyBorder="1"/>
    <xf numFmtId="0" fontId="5" fillId="0" borderId="1" xfId="1" applyFon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164" fontId="5" fillId="0" borderId="2" xfId="1" applyNumberFormat="1" applyFont="1" applyBorder="1" applyAlignment="1">
      <alignment vertical="center" wrapText="1"/>
    </xf>
    <xf numFmtId="0" fontId="2" fillId="0" borderId="3" xfId="1" applyBorder="1" applyAlignment="1">
      <alignment vertical="center" wrapText="1"/>
    </xf>
    <xf numFmtId="0" fontId="2" fillId="0" borderId="4" xfId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2" fillId="0" borderId="7" xfId="1" applyBorder="1" applyAlignment="1">
      <alignment vertical="center" wrapText="1"/>
    </xf>
    <xf numFmtId="0" fontId="2" fillId="0" borderId="8" xfId="1" applyBorder="1" applyAlignment="1">
      <alignment vertical="center" wrapText="1"/>
    </xf>
    <xf numFmtId="164" fontId="5" fillId="0" borderId="2" xfId="1" applyNumberFormat="1" applyFont="1" applyBorder="1" applyAlignment="1">
      <alignment vertical="center"/>
    </xf>
    <xf numFmtId="0" fontId="2" fillId="0" borderId="3" xfId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7" xfId="1" applyBorder="1" applyAlignment="1">
      <alignment vertical="center"/>
    </xf>
    <xf numFmtId="0" fontId="2" fillId="0" borderId="8" xfId="1" applyBorder="1" applyAlignment="1">
      <alignment vertical="center"/>
    </xf>
    <xf numFmtId="0" fontId="4" fillId="0" borderId="9" xfId="1" applyFont="1" applyBorder="1" applyAlignment="1">
      <alignment vertical="center"/>
    </xf>
    <xf numFmtId="0" fontId="2" fillId="0" borderId="12" xfId="1" applyBorder="1" applyAlignment="1">
      <alignment vertical="center"/>
    </xf>
    <xf numFmtId="3" fontId="4" fillId="0" borderId="9" xfId="1" applyNumberFormat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8" fillId="3" borderId="2" xfId="1" applyFont="1" applyFill="1" applyBorder="1" applyAlignment="1">
      <alignment vertical="center"/>
    </xf>
    <xf numFmtId="0" fontId="11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5" fillId="0" borderId="2" xfId="1" applyFont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15" fillId="0" borderId="0" xfId="1" applyFont="1"/>
    <xf numFmtId="0" fontId="5" fillId="0" borderId="1" xfId="2" applyFont="1" applyBorder="1" applyAlignment="1">
      <alignment horizontal="center" vertical="center" wrapText="1"/>
    </xf>
    <xf numFmtId="0" fontId="2" fillId="0" borderId="11" xfId="2" applyBorder="1" applyAlignment="1">
      <alignment horizontal="center" vertical="center" wrapText="1"/>
    </xf>
    <xf numFmtId="3" fontId="4" fillId="0" borderId="9" xfId="2" applyNumberFormat="1" applyFont="1" applyBorder="1" applyAlignment="1">
      <alignment vertical="center"/>
    </xf>
    <xf numFmtId="0" fontId="2" fillId="0" borderId="12" xfId="2" applyBorder="1" applyAlignment="1">
      <alignment vertical="center"/>
    </xf>
    <xf numFmtId="0" fontId="5" fillId="0" borderId="15" xfId="2" applyFont="1" applyBorder="1" applyAlignment="1">
      <alignment vertical="center" wrapText="1"/>
    </xf>
    <xf numFmtId="0" fontId="2" fillId="0" borderId="45" xfId="2" applyBorder="1" applyAlignment="1">
      <alignment vertical="center" wrapText="1"/>
    </xf>
    <xf numFmtId="0" fontId="5" fillId="0" borderId="48" xfId="2" applyFont="1" applyBorder="1" applyAlignment="1">
      <alignment vertical="center" wrapText="1"/>
    </xf>
    <xf numFmtId="0" fontId="2" fillId="0" borderId="49" xfId="2" applyBorder="1" applyAlignment="1">
      <alignment vertical="center" wrapText="1"/>
    </xf>
    <xf numFmtId="0" fontId="9" fillId="0" borderId="0" xfId="2" applyFont="1" applyAlignment="1">
      <alignment wrapText="1"/>
    </xf>
    <xf numFmtId="0" fontId="2" fillId="0" borderId="0" xfId="2" applyAlignment="1">
      <alignment wrapText="1"/>
    </xf>
    <xf numFmtId="0" fontId="4" fillId="0" borderId="9" xfId="2" applyFont="1" applyBorder="1" applyAlignment="1">
      <alignment horizontal="left" vertical="center"/>
    </xf>
    <xf numFmtId="0" fontId="2" fillId="0" borderId="12" xfId="2" applyBorder="1" applyAlignment="1">
      <alignment horizontal="left" vertical="center"/>
    </xf>
    <xf numFmtId="0" fontId="2" fillId="0" borderId="45" xfId="2" applyBorder="1"/>
    <xf numFmtId="0" fontId="9" fillId="0" borderId="9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11" xfId="2" applyBorder="1" applyAlignment="1">
      <alignment horizontal="center" vertical="center"/>
    </xf>
    <xf numFmtId="164" fontId="5" fillId="0" borderId="2" xfId="2" applyNumberFormat="1" applyFont="1" applyBorder="1" applyAlignment="1">
      <alignment vertical="center" wrapText="1"/>
    </xf>
    <xf numFmtId="0" fontId="2" fillId="0" borderId="3" xfId="2" applyBorder="1" applyAlignment="1">
      <alignment vertical="center" wrapText="1"/>
    </xf>
    <xf numFmtId="0" fontId="2" fillId="0" borderId="4" xfId="2" applyBorder="1" applyAlignment="1">
      <alignment vertical="center" wrapText="1"/>
    </xf>
    <xf numFmtId="0" fontId="2" fillId="0" borderId="6" xfId="2" applyBorder="1" applyAlignment="1">
      <alignment vertical="center" wrapText="1"/>
    </xf>
    <xf numFmtId="0" fontId="2" fillId="0" borderId="7" xfId="2" applyBorder="1" applyAlignment="1">
      <alignment vertical="center" wrapText="1"/>
    </xf>
    <xf numFmtId="0" fontId="2" fillId="0" borderId="8" xfId="2" applyBorder="1" applyAlignment="1">
      <alignment vertical="center" wrapText="1"/>
    </xf>
    <xf numFmtId="164" fontId="5" fillId="0" borderId="2" xfId="2" applyNumberFormat="1" applyFont="1" applyBorder="1" applyAlignment="1">
      <alignment vertical="center"/>
    </xf>
    <xf numFmtId="0" fontId="2" fillId="0" borderId="3" xfId="2" applyBorder="1" applyAlignment="1">
      <alignment vertical="center"/>
    </xf>
    <xf numFmtId="0" fontId="2" fillId="0" borderId="4" xfId="2" applyBorder="1" applyAlignment="1">
      <alignment vertical="center"/>
    </xf>
    <xf numFmtId="0" fontId="2" fillId="0" borderId="6" xfId="2" applyBorder="1" applyAlignment="1">
      <alignment vertical="center"/>
    </xf>
    <xf numFmtId="0" fontId="2" fillId="0" borderId="7" xfId="2" applyBorder="1" applyAlignment="1">
      <alignment vertical="center"/>
    </xf>
    <xf numFmtId="0" fontId="2" fillId="0" borderId="8" xfId="2" applyBorder="1" applyAlignment="1">
      <alignment vertical="center"/>
    </xf>
    <xf numFmtId="0" fontId="5" fillId="0" borderId="2" xfId="2" applyFont="1" applyBorder="1" applyAlignment="1">
      <alignment vertical="center"/>
    </xf>
    <xf numFmtId="0" fontId="8" fillId="3" borderId="2" xfId="2" applyFont="1" applyFill="1" applyBorder="1" applyAlignment="1">
      <alignment vertical="center"/>
    </xf>
    <xf numFmtId="0" fontId="4" fillId="0" borderId="9" xfId="2" applyFont="1" applyBorder="1" applyAlignment="1">
      <alignment vertical="center"/>
    </xf>
    <xf numFmtId="0" fontId="11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center"/>
    </xf>
    <xf numFmtId="0" fontId="5" fillId="0" borderId="2" xfId="2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0" fontId="0" fillId="0" borderId="0" xfId="0"/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0" fillId="0" borderId="49" xfId="0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4" fillId="0" borderId="9" xfId="0" applyNumberFormat="1" applyFont="1" applyBorder="1" applyAlignment="1">
      <alignment vertical="center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5" xfId="0" applyBorder="1"/>
    <xf numFmtId="0" fontId="9" fillId="0" borderId="9" xfId="0" applyFont="1" applyBorder="1" applyAlignment="1">
      <alignment vertical="center"/>
    </xf>
    <xf numFmtId="0" fontId="13" fillId="2" borderId="2" xfId="0" applyFont="1" applyFill="1" applyBorder="1" applyAlignment="1">
      <alignment horizontal="left" vertical="center" wrapText="1"/>
    </xf>
    <xf numFmtId="0" fontId="6" fillId="0" borderId="0" xfId="1" applyFont="1" applyAlignment="1">
      <alignment horizontal="left" indent="4"/>
    </xf>
    <xf numFmtId="0" fontId="25" fillId="0" borderId="0" xfId="0" applyFont="1" applyAlignment="1">
      <alignment horizontal="left" indent="4"/>
    </xf>
    <xf numFmtId="0" fontId="27" fillId="0" borderId="49" xfId="2" applyFont="1" applyBorder="1" applyAlignment="1">
      <alignment vertical="center" wrapText="1"/>
    </xf>
    <xf numFmtId="0" fontId="27" fillId="0" borderId="45" xfId="2" applyFont="1" applyBorder="1" applyAlignment="1">
      <alignment vertical="center" wrapText="1"/>
    </xf>
    <xf numFmtId="0" fontId="27" fillId="0" borderId="12" xfId="2" applyFont="1" applyBorder="1" applyAlignment="1">
      <alignment vertical="center"/>
    </xf>
    <xf numFmtId="0" fontId="19" fillId="0" borderId="0" xfId="2" applyFont="1" applyAlignment="1">
      <alignment horizontal="center"/>
    </xf>
    <xf numFmtId="0" fontId="30" fillId="0" borderId="0" xfId="2" applyFont="1" applyAlignment="1">
      <alignment horizontal="center"/>
    </xf>
    <xf numFmtId="0" fontId="28" fillId="0" borderId="0" xfId="2" applyFont="1" applyAlignment="1">
      <alignment horizontal="center"/>
    </xf>
    <xf numFmtId="0" fontId="27" fillId="0" borderId="3" xfId="2" applyFont="1" applyBorder="1" applyAlignment="1">
      <alignment vertical="center" wrapText="1"/>
    </xf>
    <xf numFmtId="0" fontId="27" fillId="0" borderId="4" xfId="2" applyFont="1" applyBorder="1" applyAlignment="1">
      <alignment vertical="center" wrapText="1"/>
    </xf>
    <xf numFmtId="0" fontId="27" fillId="0" borderId="6" xfId="2" applyFont="1" applyBorder="1" applyAlignment="1">
      <alignment vertical="center" wrapText="1"/>
    </xf>
    <xf numFmtId="0" fontId="27" fillId="0" borderId="7" xfId="2" applyFont="1" applyBorder="1" applyAlignment="1">
      <alignment vertical="center" wrapText="1"/>
    </xf>
    <xf numFmtId="0" fontId="27" fillId="0" borderId="8" xfId="2" applyFont="1" applyBorder="1" applyAlignment="1">
      <alignment vertical="center" wrapText="1"/>
    </xf>
    <xf numFmtId="0" fontId="27" fillId="0" borderId="5" xfId="2" applyFont="1" applyBorder="1" applyAlignment="1">
      <alignment horizontal="center" vertical="center"/>
    </xf>
    <xf numFmtId="0" fontId="27" fillId="0" borderId="11" xfId="2" applyFont="1" applyBorder="1" applyAlignment="1">
      <alignment horizontal="center" vertical="center"/>
    </xf>
    <xf numFmtId="0" fontId="5" fillId="2" borderId="2" xfId="2" applyFont="1" applyFill="1" applyBorder="1" applyAlignment="1">
      <alignment horizontal="left" vertical="center" wrapText="1"/>
    </xf>
    <xf numFmtId="0" fontId="27" fillId="0" borderId="3" xfId="2" applyFont="1" applyBorder="1" applyAlignment="1">
      <alignment vertical="center"/>
    </xf>
    <xf numFmtId="0" fontId="27" fillId="0" borderId="4" xfId="2" applyFont="1" applyBorder="1" applyAlignment="1">
      <alignment vertical="center"/>
    </xf>
    <xf numFmtId="0" fontId="27" fillId="0" borderId="6" xfId="2" applyFont="1" applyBorder="1" applyAlignment="1">
      <alignment vertical="center"/>
    </xf>
    <xf numFmtId="0" fontId="27" fillId="0" borderId="7" xfId="2" applyFont="1" applyBorder="1" applyAlignment="1">
      <alignment vertical="center"/>
    </xf>
    <xf numFmtId="0" fontId="27" fillId="0" borderId="8" xfId="2" applyFont="1" applyBorder="1" applyAlignment="1">
      <alignment vertical="center"/>
    </xf>
    <xf numFmtId="0" fontId="27" fillId="0" borderId="11" xfId="2" applyFont="1" applyBorder="1" applyAlignment="1">
      <alignment horizontal="center" vertical="center" wrapText="1"/>
    </xf>
    <xf numFmtId="0" fontId="27" fillId="0" borderId="45" xfId="2" applyFont="1" applyBorder="1"/>
    <xf numFmtId="0" fontId="27" fillId="0" borderId="12" xfId="2" applyFont="1" applyBorder="1" applyAlignment="1">
      <alignment horizontal="left" vertical="center"/>
    </xf>
    <xf numFmtId="0" fontId="33" fillId="0" borderId="0" xfId="1" applyFont="1" applyAlignment="1">
      <alignment horizontal="center"/>
    </xf>
    <xf numFmtId="0" fontId="33" fillId="0" borderId="0" xfId="1" applyFont="1"/>
    <xf numFmtId="0" fontId="34" fillId="0" borderId="0" xfId="2" applyFont="1" applyAlignment="1">
      <alignment horizontal="center"/>
    </xf>
    <xf numFmtId="49" fontId="12" fillId="0" borderId="3" xfId="0" applyNumberFormat="1" applyFont="1" applyBorder="1" applyAlignment="1">
      <alignment vertical="top"/>
    </xf>
    <xf numFmtId="0" fontId="5" fillId="0" borderId="1" xfId="2" applyFont="1" applyBorder="1" applyAlignment="1">
      <alignment vertical="center" wrapText="1"/>
    </xf>
    <xf numFmtId="0" fontId="27" fillId="0" borderId="5" xfId="2" applyFont="1" applyBorder="1" applyAlignment="1">
      <alignment vertical="center" wrapText="1"/>
    </xf>
    <xf numFmtId="0" fontId="27" fillId="0" borderId="11" xfId="2" applyFont="1" applyBorder="1" applyAlignment="1">
      <alignment vertical="center" wrapText="1"/>
    </xf>
    <xf numFmtId="164" fontId="9" fillId="0" borderId="3" xfId="2" applyNumberFormat="1" applyFont="1" applyBorder="1" applyAlignment="1">
      <alignment vertical="center" wrapText="1"/>
    </xf>
    <xf numFmtId="0" fontId="9" fillId="0" borderId="2" xfId="2" applyFont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20" fillId="0" borderId="0" xfId="2" applyFont="1" applyAlignment="1">
      <alignment horizontal="right"/>
    </xf>
    <xf numFmtId="0" fontId="2" fillId="0" borderId="0" xfId="2" applyAlignment="1">
      <alignment horizontal="right"/>
    </xf>
    <xf numFmtId="0" fontId="9" fillId="0" borderId="3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27" fillId="0" borderId="7" xfId="2" applyFont="1" applyBorder="1" applyAlignment="1">
      <alignment horizontal="left" vertical="center" wrapText="1"/>
    </xf>
    <xf numFmtId="0" fontId="27" fillId="0" borderId="8" xfId="2" applyFont="1" applyBorder="1" applyAlignment="1">
      <alignment horizontal="left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left" vertical="center" wrapText="1"/>
    </xf>
    <xf numFmtId="0" fontId="27" fillId="0" borderId="6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0" fontId="27" fillId="0" borderId="3" xfId="2" applyFont="1" applyBorder="1" applyAlignment="1">
      <alignment horizontal="left" vertical="center" wrapText="1"/>
    </xf>
    <xf numFmtId="0" fontId="27" fillId="0" borderId="4" xfId="2" applyFont="1" applyBorder="1" applyAlignment="1">
      <alignment horizontal="left" vertical="center" wrapText="1"/>
    </xf>
    <xf numFmtId="164" fontId="9" fillId="0" borderId="2" xfId="2" applyNumberFormat="1" applyFont="1" applyBorder="1" applyAlignment="1">
      <alignment vertical="center" wrapText="1"/>
    </xf>
    <xf numFmtId="0" fontId="3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6" fillId="0" borderId="0" xfId="1" applyFont="1" applyAlignment="1">
      <alignment horizontal="left" indent="3"/>
    </xf>
    <xf numFmtId="0" fontId="0" fillId="0" borderId="0" xfId="0" applyAlignment="1">
      <alignment horizontal="left" indent="3"/>
    </xf>
    <xf numFmtId="49" fontId="12" fillId="0" borderId="0" xfId="0" applyNumberFormat="1" applyFont="1" applyAlignment="1">
      <alignment vertical="top"/>
    </xf>
    <xf numFmtId="0" fontId="32" fillId="0" borderId="0" xfId="0" applyFont="1"/>
    <xf numFmtId="0" fontId="36" fillId="0" borderId="0" xfId="2" applyFont="1" applyAlignment="1">
      <alignment horizontal="center"/>
    </xf>
    <xf numFmtId="0" fontId="37" fillId="0" borderId="0" xfId="0" applyFont="1"/>
    <xf numFmtId="164" fontId="6" fillId="0" borderId="2" xfId="2" applyNumberFormat="1" applyFont="1" applyBorder="1" applyAlignment="1">
      <alignment horizontal="justify" vertical="center" wrapText="1"/>
    </xf>
    <xf numFmtId="0" fontId="27" fillId="0" borderId="3" xfId="2" applyFont="1" applyBorder="1" applyAlignment="1">
      <alignment horizontal="justify" vertical="center"/>
    </xf>
    <xf numFmtId="0" fontId="27" fillId="0" borderId="4" xfId="2" applyFont="1" applyBorder="1" applyAlignment="1">
      <alignment horizontal="justify" vertical="center"/>
    </xf>
    <xf numFmtId="0" fontId="27" fillId="0" borderId="6" xfId="2" applyFont="1" applyBorder="1" applyAlignment="1">
      <alignment horizontal="justify" vertical="center"/>
    </xf>
    <xf numFmtId="0" fontId="27" fillId="0" borderId="7" xfId="2" applyFont="1" applyBorder="1" applyAlignment="1">
      <alignment horizontal="justify" vertical="center"/>
    </xf>
    <xf numFmtId="0" fontId="27" fillId="0" borderId="8" xfId="2" applyFont="1" applyBorder="1" applyAlignment="1">
      <alignment horizontal="justify" vertical="center"/>
    </xf>
    <xf numFmtId="0" fontId="6" fillId="0" borderId="2" xfId="2" applyFont="1" applyBorder="1" applyAlignment="1">
      <alignment horizontal="justify" vertical="center" wrapText="1"/>
    </xf>
    <xf numFmtId="0" fontId="8" fillId="3" borderId="2" xfId="2" applyFont="1" applyFill="1" applyBorder="1" applyAlignment="1">
      <alignment horizontal="justify" vertical="center"/>
    </xf>
    <xf numFmtId="0" fontId="27" fillId="0" borderId="3" xfId="2" applyFont="1" applyBorder="1" applyAlignment="1">
      <alignment horizontal="justify" vertical="center" wrapText="1"/>
    </xf>
    <xf numFmtId="0" fontId="27" fillId="0" borderId="4" xfId="2" applyFont="1" applyBorder="1" applyAlignment="1">
      <alignment horizontal="justify" vertical="center" wrapText="1"/>
    </xf>
    <xf numFmtId="0" fontId="27" fillId="0" borderId="6" xfId="2" applyFont="1" applyBorder="1" applyAlignment="1">
      <alignment horizontal="justify" vertical="center" wrapText="1"/>
    </xf>
    <xf numFmtId="0" fontId="27" fillId="0" borderId="7" xfId="2" applyFont="1" applyBorder="1" applyAlignment="1">
      <alignment horizontal="justify" vertical="center" wrapText="1"/>
    </xf>
    <xf numFmtId="0" fontId="27" fillId="0" borderId="8" xfId="2" applyFont="1" applyBorder="1" applyAlignment="1">
      <alignment horizontal="justify" vertical="center" wrapText="1"/>
    </xf>
    <xf numFmtId="0" fontId="6" fillId="2" borderId="2" xfId="2" applyFont="1" applyFill="1" applyBorder="1" applyAlignment="1">
      <alignment horizontal="justify" vertical="center" wrapText="1"/>
    </xf>
    <xf numFmtId="164" fontId="21" fillId="0" borderId="3" xfId="2" applyNumberFormat="1" applyFont="1" applyBorder="1" applyAlignment="1">
      <alignment horizontal="justify" vertical="center" wrapText="1"/>
    </xf>
    <xf numFmtId="0" fontId="21" fillId="0" borderId="2" xfId="2" applyFont="1" applyBorder="1" applyAlignment="1">
      <alignment horizontal="justify" vertical="center" wrapText="1"/>
    </xf>
    <xf numFmtId="0" fontId="38" fillId="3" borderId="2" xfId="2" applyFont="1" applyFill="1" applyBorder="1" applyAlignment="1">
      <alignment horizontal="justify" vertical="center" wrapText="1"/>
    </xf>
    <xf numFmtId="0" fontId="40" fillId="0" borderId="3" xfId="2" applyFont="1" applyBorder="1" applyAlignment="1">
      <alignment horizontal="justify" vertical="center" wrapText="1"/>
    </xf>
    <xf numFmtId="0" fontId="40" fillId="0" borderId="4" xfId="2" applyFont="1" applyBorder="1" applyAlignment="1">
      <alignment horizontal="justify" vertical="center" wrapText="1"/>
    </xf>
    <xf numFmtId="0" fontId="40" fillId="0" borderId="6" xfId="2" applyFont="1" applyBorder="1" applyAlignment="1">
      <alignment horizontal="justify" vertical="center" wrapText="1"/>
    </xf>
    <xf numFmtId="0" fontId="40" fillId="0" borderId="7" xfId="2" applyFont="1" applyBorder="1" applyAlignment="1">
      <alignment horizontal="justify" vertical="center" wrapText="1"/>
    </xf>
    <xf numFmtId="0" fontId="40" fillId="0" borderId="8" xfId="2" applyFont="1" applyBorder="1" applyAlignment="1">
      <alignment horizontal="justify" vertical="center" wrapText="1"/>
    </xf>
    <xf numFmtId="3" fontId="38" fillId="5" borderId="1" xfId="2" applyNumberFormat="1" applyFont="1" applyFill="1" applyBorder="1" applyAlignment="1">
      <alignment horizontal="center" vertical="center"/>
    </xf>
    <xf numFmtId="3" fontId="38" fillId="5" borderId="11" xfId="2" applyNumberFormat="1" applyFont="1" applyFill="1" applyBorder="1" applyAlignment="1">
      <alignment horizontal="center" vertical="center"/>
    </xf>
    <xf numFmtId="0" fontId="21" fillId="0" borderId="3" xfId="2" applyFont="1" applyBorder="1" applyAlignment="1">
      <alignment horizontal="justify" vertical="center" wrapText="1"/>
    </xf>
    <xf numFmtId="0" fontId="9" fillId="0" borderId="3" xfId="2" applyFont="1" applyBorder="1" applyAlignment="1">
      <alignment horizontal="justify" vertical="center" wrapText="1"/>
    </xf>
    <xf numFmtId="0" fontId="9" fillId="0" borderId="4" xfId="2" applyFont="1" applyBorder="1" applyAlignment="1">
      <alignment horizontal="justify" vertical="center" wrapText="1"/>
    </xf>
    <xf numFmtId="0" fontId="21" fillId="2" borderId="2" xfId="2" applyFont="1" applyFill="1" applyBorder="1" applyAlignment="1">
      <alignment horizontal="justify" vertical="center" wrapText="1"/>
    </xf>
    <xf numFmtId="0" fontId="4" fillId="2" borderId="3" xfId="2" applyFont="1" applyFill="1" applyBorder="1" applyAlignment="1">
      <alignment horizontal="justify" vertical="center" wrapText="1"/>
    </xf>
    <xf numFmtId="0" fontId="4" fillId="2" borderId="4" xfId="2" applyFont="1" applyFill="1" applyBorder="1" applyAlignment="1">
      <alignment horizontal="justify" vertical="center" wrapText="1"/>
    </xf>
    <xf numFmtId="164" fontId="21" fillId="0" borderId="2" xfId="2" applyNumberFormat="1" applyFont="1" applyBorder="1" applyAlignment="1">
      <alignment horizontal="justify" vertical="center" wrapText="1"/>
    </xf>
    <xf numFmtId="0" fontId="12" fillId="0" borderId="0" xfId="1" applyFont="1" applyAlignment="1">
      <alignment horizontal="left" indent="3"/>
    </xf>
    <xf numFmtId="0" fontId="41" fillId="0" borderId="0" xfId="0" applyFont="1" applyAlignment="1">
      <alignment horizontal="left" indent="3"/>
    </xf>
    <xf numFmtId="3" fontId="38" fillId="5" borderId="1" xfId="0" applyNumberFormat="1" applyFont="1" applyFill="1" applyBorder="1" applyAlignment="1">
      <alignment horizontal="center" vertical="center"/>
    </xf>
    <xf numFmtId="3" fontId="38" fillId="5" borderId="11" xfId="0" applyNumberFormat="1" applyFont="1" applyFill="1" applyBorder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9" defaultPivotStyle="PivotStyleLight16"/>
  <colors>
    <mruColors>
      <color rgb="FFCCFFFF"/>
      <color rgb="FF000000"/>
      <color rgb="FF404040"/>
      <color rgb="FF59595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12.xml"/><Relationship Id="rId26" Type="http://schemas.openxmlformats.org/officeDocument/2006/relationships/worksheet" Target="worksheets/sheet20.xml"/><Relationship Id="rId39" Type="http://schemas.openxmlformats.org/officeDocument/2006/relationships/worksheet" Target="worksheets/sheet33.xml"/><Relationship Id="rId21" Type="http://schemas.openxmlformats.org/officeDocument/2006/relationships/worksheet" Target="worksheets/sheet15.xml"/><Relationship Id="rId34" Type="http://schemas.openxmlformats.org/officeDocument/2006/relationships/worksheet" Target="worksheets/sheet28.xml"/><Relationship Id="rId42" Type="http://schemas.openxmlformats.org/officeDocument/2006/relationships/worksheet" Target="worksheets/sheet36.xml"/><Relationship Id="rId47" Type="http://schemas.openxmlformats.org/officeDocument/2006/relationships/worksheet" Target="worksheets/sheet41.xml"/><Relationship Id="rId50" Type="http://schemas.openxmlformats.org/officeDocument/2006/relationships/worksheet" Target="worksheets/sheet44.xml"/><Relationship Id="rId55" Type="http://schemas.openxmlformats.org/officeDocument/2006/relationships/worksheet" Target="worksheets/sheet49.xml"/><Relationship Id="rId63" Type="http://schemas.openxmlformats.org/officeDocument/2006/relationships/worksheet" Target="worksheets/sheet57.xml"/><Relationship Id="rId68" Type="http://schemas.openxmlformats.org/officeDocument/2006/relationships/worksheet" Target="worksheets/sheet62.xml"/><Relationship Id="rId76" Type="http://schemas.openxmlformats.org/officeDocument/2006/relationships/worksheet" Target="worksheets/sheet70.xml"/><Relationship Id="rId7" Type="http://schemas.openxmlformats.org/officeDocument/2006/relationships/chartsheet" Target="chartsheets/sheet5.xml"/><Relationship Id="rId71" Type="http://schemas.openxmlformats.org/officeDocument/2006/relationships/worksheet" Target="worksheets/sheet6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9" Type="http://schemas.openxmlformats.org/officeDocument/2006/relationships/worksheet" Target="worksheets/sheet2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8.xml"/><Relationship Id="rId32" Type="http://schemas.openxmlformats.org/officeDocument/2006/relationships/worksheet" Target="worksheets/sheet26.xml"/><Relationship Id="rId37" Type="http://schemas.openxmlformats.org/officeDocument/2006/relationships/worksheet" Target="worksheets/sheet31.xml"/><Relationship Id="rId40" Type="http://schemas.openxmlformats.org/officeDocument/2006/relationships/worksheet" Target="worksheets/sheet34.xml"/><Relationship Id="rId45" Type="http://schemas.openxmlformats.org/officeDocument/2006/relationships/worksheet" Target="worksheets/sheet39.xml"/><Relationship Id="rId53" Type="http://schemas.openxmlformats.org/officeDocument/2006/relationships/worksheet" Target="worksheets/sheet47.xml"/><Relationship Id="rId58" Type="http://schemas.openxmlformats.org/officeDocument/2006/relationships/worksheet" Target="worksheets/sheet52.xml"/><Relationship Id="rId66" Type="http://schemas.openxmlformats.org/officeDocument/2006/relationships/worksheet" Target="worksheets/sheet60.xml"/><Relationship Id="rId74" Type="http://schemas.openxmlformats.org/officeDocument/2006/relationships/worksheet" Target="worksheets/sheet68.xml"/><Relationship Id="rId79" Type="http://schemas.openxmlformats.org/officeDocument/2006/relationships/sharedStrings" Target="sharedStrings.xml"/><Relationship Id="rId5" Type="http://schemas.openxmlformats.org/officeDocument/2006/relationships/chartsheet" Target="chartsheets/sheet3.xml"/><Relationship Id="rId61" Type="http://schemas.openxmlformats.org/officeDocument/2006/relationships/worksheet" Target="worksheets/sheet55.xml"/><Relationship Id="rId10" Type="http://schemas.openxmlformats.org/officeDocument/2006/relationships/worksheet" Target="worksheets/sheet4.xml"/><Relationship Id="rId19" Type="http://schemas.openxmlformats.org/officeDocument/2006/relationships/worksheet" Target="worksheets/sheet13.xml"/><Relationship Id="rId31" Type="http://schemas.openxmlformats.org/officeDocument/2006/relationships/worksheet" Target="worksheets/sheet25.xml"/><Relationship Id="rId44" Type="http://schemas.openxmlformats.org/officeDocument/2006/relationships/worksheet" Target="worksheets/sheet38.xml"/><Relationship Id="rId52" Type="http://schemas.openxmlformats.org/officeDocument/2006/relationships/worksheet" Target="worksheets/sheet46.xml"/><Relationship Id="rId60" Type="http://schemas.openxmlformats.org/officeDocument/2006/relationships/worksheet" Target="worksheets/sheet54.xml"/><Relationship Id="rId65" Type="http://schemas.openxmlformats.org/officeDocument/2006/relationships/worksheet" Target="worksheets/sheet59.xml"/><Relationship Id="rId73" Type="http://schemas.openxmlformats.org/officeDocument/2006/relationships/worksheet" Target="worksheets/sheet67.xml"/><Relationship Id="rId78" Type="http://schemas.openxmlformats.org/officeDocument/2006/relationships/styles" Target="styles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3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6.xml"/><Relationship Id="rId27" Type="http://schemas.openxmlformats.org/officeDocument/2006/relationships/worksheet" Target="worksheets/sheet21.xml"/><Relationship Id="rId30" Type="http://schemas.openxmlformats.org/officeDocument/2006/relationships/worksheet" Target="worksheets/sheet24.xml"/><Relationship Id="rId35" Type="http://schemas.openxmlformats.org/officeDocument/2006/relationships/worksheet" Target="worksheets/sheet29.xml"/><Relationship Id="rId43" Type="http://schemas.openxmlformats.org/officeDocument/2006/relationships/worksheet" Target="worksheets/sheet37.xml"/><Relationship Id="rId48" Type="http://schemas.openxmlformats.org/officeDocument/2006/relationships/worksheet" Target="worksheets/sheet42.xml"/><Relationship Id="rId56" Type="http://schemas.openxmlformats.org/officeDocument/2006/relationships/worksheet" Target="worksheets/sheet50.xml"/><Relationship Id="rId64" Type="http://schemas.openxmlformats.org/officeDocument/2006/relationships/worksheet" Target="worksheets/sheet58.xml"/><Relationship Id="rId69" Type="http://schemas.openxmlformats.org/officeDocument/2006/relationships/worksheet" Target="worksheets/sheet63.xml"/><Relationship Id="rId77" Type="http://schemas.openxmlformats.org/officeDocument/2006/relationships/theme" Target="theme/theme1.xml"/><Relationship Id="rId8" Type="http://schemas.openxmlformats.org/officeDocument/2006/relationships/chartsheet" Target="chartsheets/sheet6.xml"/><Relationship Id="rId51" Type="http://schemas.openxmlformats.org/officeDocument/2006/relationships/worksheet" Target="worksheets/sheet45.xml"/><Relationship Id="rId72" Type="http://schemas.openxmlformats.org/officeDocument/2006/relationships/worksheet" Target="worksheets/sheet66.xml"/><Relationship Id="rId80" Type="http://schemas.openxmlformats.org/officeDocument/2006/relationships/calcChain" Target="calcChain.xml"/><Relationship Id="rId3" Type="http://schemas.openxmlformats.org/officeDocument/2006/relationships/chartsheet" Target="chartsheets/sheet1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11.xml"/><Relationship Id="rId25" Type="http://schemas.openxmlformats.org/officeDocument/2006/relationships/worksheet" Target="worksheets/sheet19.xml"/><Relationship Id="rId33" Type="http://schemas.openxmlformats.org/officeDocument/2006/relationships/worksheet" Target="worksheets/sheet27.xml"/><Relationship Id="rId38" Type="http://schemas.openxmlformats.org/officeDocument/2006/relationships/worksheet" Target="worksheets/sheet32.xml"/><Relationship Id="rId46" Type="http://schemas.openxmlformats.org/officeDocument/2006/relationships/worksheet" Target="worksheets/sheet40.xml"/><Relationship Id="rId59" Type="http://schemas.openxmlformats.org/officeDocument/2006/relationships/worksheet" Target="worksheets/sheet53.xml"/><Relationship Id="rId67" Type="http://schemas.openxmlformats.org/officeDocument/2006/relationships/worksheet" Target="worksheets/sheet61.xml"/><Relationship Id="rId20" Type="http://schemas.openxmlformats.org/officeDocument/2006/relationships/worksheet" Target="worksheets/sheet14.xml"/><Relationship Id="rId41" Type="http://schemas.openxmlformats.org/officeDocument/2006/relationships/worksheet" Target="worksheets/sheet35.xml"/><Relationship Id="rId54" Type="http://schemas.openxmlformats.org/officeDocument/2006/relationships/worksheet" Target="worksheets/sheet48.xml"/><Relationship Id="rId62" Type="http://schemas.openxmlformats.org/officeDocument/2006/relationships/worksheet" Target="worksheets/sheet56.xml"/><Relationship Id="rId70" Type="http://schemas.openxmlformats.org/officeDocument/2006/relationships/worksheet" Target="worksheets/sheet64.xml"/><Relationship Id="rId75" Type="http://schemas.openxmlformats.org/officeDocument/2006/relationships/worksheet" Target="worksheets/sheet69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5" Type="http://schemas.openxmlformats.org/officeDocument/2006/relationships/worksheet" Target="worksheets/sheet9.xml"/><Relationship Id="rId23" Type="http://schemas.openxmlformats.org/officeDocument/2006/relationships/worksheet" Target="worksheets/sheet17.xml"/><Relationship Id="rId28" Type="http://schemas.openxmlformats.org/officeDocument/2006/relationships/worksheet" Target="worksheets/sheet22.xml"/><Relationship Id="rId36" Type="http://schemas.openxmlformats.org/officeDocument/2006/relationships/worksheet" Target="worksheets/sheet30.xml"/><Relationship Id="rId49" Type="http://schemas.openxmlformats.org/officeDocument/2006/relationships/worksheet" Target="worksheets/sheet43.xml"/><Relationship Id="rId57" Type="http://schemas.openxmlformats.org/officeDocument/2006/relationships/worksheet" Target="worksheets/sheet5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  <a:latin typeface="+mn-lt"/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'Vývoj2015-24'!$A$6:$A$7</c:f>
              <c:strCache>
                <c:ptCount val="1"/>
                <c:pt idx="0">
                  <c:v>Daň z příjmů FO placená poplatníky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'Vývoj2015-24'!$R$3:$AA$3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'Vývoj2015-24'!$R$6:$AA$6</c:f>
              <c:numCache>
                <c:formatCode>#,##0</c:formatCode>
                <c:ptCount val="10"/>
                <c:pt idx="0">
                  <c:v>84309374.209999993</c:v>
                </c:pt>
                <c:pt idx="1">
                  <c:v>69993741.700000003</c:v>
                </c:pt>
                <c:pt idx="2">
                  <c:v>56891091.93</c:v>
                </c:pt>
                <c:pt idx="3">
                  <c:v>41425996.219999999</c:v>
                </c:pt>
                <c:pt idx="4">
                  <c:v>54276767.850000001</c:v>
                </c:pt>
                <c:pt idx="5">
                  <c:v>30104455.289999999</c:v>
                </c:pt>
                <c:pt idx="6">
                  <c:v>89346402.209999993</c:v>
                </c:pt>
                <c:pt idx="7">
                  <c:v>133516350.73999999</c:v>
                </c:pt>
                <c:pt idx="8">
                  <c:v>141145183.44</c:v>
                </c:pt>
                <c:pt idx="9">
                  <c:v>136349858.97999999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6-4EF1-9451-EA05FF769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9856"/>
        <c:axId val="213481088"/>
      </c:lineChart>
      <c:catAx>
        <c:axId val="21400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481088"/>
        <c:crosses val="autoZero"/>
        <c:auto val="1"/>
        <c:lblAlgn val="ctr"/>
        <c:lblOffset val="100"/>
        <c:noMultiLvlLbl val="0"/>
      </c:catAx>
      <c:valAx>
        <c:axId val="213481088"/>
        <c:scaling>
          <c:orientation val="minMax"/>
          <c:max val="175000000.0000000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4009856"/>
        <c:crosses val="autoZero"/>
        <c:crossBetween val="between"/>
        <c:majorUnit val="2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2200" b="1" i="0" baseline="0">
                <a:solidFill>
                  <a:sysClr val="windowText" lastClr="000000"/>
                </a:solidFill>
                <a:effectLst/>
                <a:latin typeface="+mj-lt"/>
              </a:rPr>
              <a:t>Vývoj výnosů SMO z příjmů z daně právnických osob</a:t>
            </a:r>
            <a:endParaRPr lang="cs-CZ" sz="2200" b="1">
              <a:solidFill>
                <a:sysClr val="windowText" lastClr="000000"/>
              </a:solidFill>
              <a:effectLst/>
              <a:latin typeface="+mj-lt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cs-CZ" sz="1200" b="1" i="0" baseline="0">
                <a:solidFill>
                  <a:sysClr val="windowText" lastClr="000000"/>
                </a:solidFill>
                <a:effectLst/>
                <a:latin typeface="+mj-lt"/>
              </a:rPr>
              <a:t>(včetně meziročních změn v %)</a:t>
            </a:r>
            <a:endParaRPr lang="cs-CZ" sz="1200">
              <a:solidFill>
                <a:sysClr val="windowText" lastClr="000000"/>
              </a:solidFill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'Vývoj2015-24'!$A$10:$A$11</c:f>
              <c:strCache>
                <c:ptCount val="1"/>
                <c:pt idx="0">
                  <c:v>Daň z příjmů právnických osob</c:v>
                </c:pt>
              </c:strCache>
            </c:strRef>
          </c:tx>
          <c:spPr>
            <a:pattFill prst="pct90">
              <a:fgClr>
                <a:srgbClr val="003C69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1C3EFB4-32B1-4075-8F9A-9A5541E74F18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64E6-43AF-9124-3F663BF443E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EBE0435-439F-45C4-8D80-335CFE9FC044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64E6-43AF-9124-3F663BF443EA}"/>
                </c:ext>
              </c:extLst>
            </c:dLbl>
            <c:dLbl>
              <c:idx val="2"/>
              <c:layout>
                <c:manualLayout>
                  <c:x val="0"/>
                  <c:y val="-3.9860488290981563E-3"/>
                </c:manualLayout>
              </c:layout>
              <c:tx>
                <c:rich>
                  <a:bodyPr/>
                  <a:lstStyle/>
                  <a:p>
                    <a:fld id="{D532E0B6-078D-4070-88F3-8C8000EA757E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4E6-43AF-9124-3F663BF443EA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54E0F37-0A15-4BD3-A555-46B97A97401D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4E6-43AF-9124-3F663BF443E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ACB3EAC-1663-42D7-8DCA-E3E5F95AC7C4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4E6-43AF-9124-3F663BF443EA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6C4D54E-73DD-46B4-B8CE-C4C1FD22FCB3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4E6-43AF-9124-3F663BF443EA}"/>
                </c:ext>
              </c:extLst>
            </c:dLbl>
            <c:dLbl>
              <c:idx val="6"/>
              <c:layout>
                <c:manualLayout>
                  <c:x val="0"/>
                  <c:y val="-5.9790732436472349E-3"/>
                </c:manualLayout>
              </c:layout>
              <c:tx>
                <c:rich>
                  <a:bodyPr/>
                  <a:lstStyle/>
                  <a:p>
                    <a:fld id="{F8B8ACC3-7634-4CB7-BB1E-9C9E4AD0F2C1}" type="CELLRANG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4E6-43AF-9124-3F663BF443E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48F4EB1-3C31-4D6A-A9F2-BD7A1BCFC3CC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4E6-43AF-9124-3F663BF443E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7D33762-CB4B-4F84-8464-55FFA3342674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4E6-43AF-9124-3F663BF443EA}"/>
                </c:ext>
              </c:extLst>
            </c:dLbl>
            <c:dLbl>
              <c:idx val="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43D3AA-9707-44FB-8361-79EC58FEABE7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4E6-43AF-9124-3F663BF443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'Vývoj2015-24'!$R$3:$AA$3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'Vývoj2015-24'!$R$10:$AA$10</c:f>
              <c:numCache>
                <c:formatCode>#,##0</c:formatCode>
                <c:ptCount val="10"/>
                <c:pt idx="0">
                  <c:v>1350117402.0699999</c:v>
                </c:pt>
                <c:pt idx="1">
                  <c:v>1539501529.52</c:v>
                </c:pt>
                <c:pt idx="2">
                  <c:v>1566737436.8199999</c:v>
                </c:pt>
                <c:pt idx="3">
                  <c:v>1501605470.3099999</c:v>
                </c:pt>
                <c:pt idx="4">
                  <c:v>1705001750.8900001</c:v>
                </c:pt>
                <c:pt idx="5">
                  <c:v>1374322595.1600001</c:v>
                </c:pt>
                <c:pt idx="6">
                  <c:v>1955031614.8699999</c:v>
                </c:pt>
                <c:pt idx="7">
                  <c:v>2243851139.6100001</c:v>
                </c:pt>
                <c:pt idx="8">
                  <c:v>2953173699.5599999</c:v>
                </c:pt>
                <c:pt idx="9">
                  <c:v>2626124215.54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'Vývoj2015-24'!$R$11:$AA$11</c15:f>
                <c15:dlblRangeCache>
                  <c:ptCount val="10"/>
                  <c:pt idx="0">
                    <c:v>2,21 %</c:v>
                  </c:pt>
                  <c:pt idx="1">
                    <c:v>14,03 %</c:v>
                  </c:pt>
                  <c:pt idx="2">
                    <c:v>1,77 %</c:v>
                  </c:pt>
                  <c:pt idx="3">
                    <c:v>-4,16 %</c:v>
                  </c:pt>
                  <c:pt idx="4">
                    <c:v>13,55 %</c:v>
                  </c:pt>
                  <c:pt idx="5">
                    <c:v>-19,39 %</c:v>
                  </c:pt>
                  <c:pt idx="6">
                    <c:v>42,25 %</c:v>
                  </c:pt>
                  <c:pt idx="7">
                    <c:v>14,77 %</c:v>
                  </c:pt>
                  <c:pt idx="8">
                    <c:v>31,61 %</c:v>
                  </c:pt>
                  <c:pt idx="9">
                    <c:v>-11,07 %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64E6-43AF-9124-3F663BF44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6302592"/>
        <c:axId val="216161600"/>
      </c:barChart>
      <c:catAx>
        <c:axId val="21630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161600"/>
        <c:crosses val="autoZero"/>
        <c:auto val="1"/>
        <c:lblAlgn val="ctr"/>
        <c:lblOffset val="100"/>
        <c:noMultiLvlLbl val="0"/>
      </c:catAx>
      <c:valAx>
        <c:axId val="216161600"/>
        <c:scaling>
          <c:orientation val="minMax"/>
          <c:max val="3200000000"/>
          <c:min val="5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302592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userShapes r:id="rId3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2017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3790160642570291"/>
          <c:w val="0.78515625"/>
          <c:h val="0.5956064257028097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(měs)'!$K$28:$K$39</c:f>
              <c:numCache>
                <c:formatCode>#\ ##0_ ;\-#\ ##0\ </c:formatCode>
                <c:ptCount val="12"/>
                <c:pt idx="0">
                  <c:v>483306453.15000004</c:v>
                </c:pt>
                <c:pt idx="1">
                  <c:v>519221603.46999997</c:v>
                </c:pt>
                <c:pt idx="2">
                  <c:v>551254790.08999991</c:v>
                </c:pt>
                <c:pt idx="3">
                  <c:v>382291183.20000005</c:v>
                </c:pt>
                <c:pt idx="4">
                  <c:v>486990226.96000004</c:v>
                </c:pt>
                <c:pt idx="5">
                  <c:v>652288425</c:v>
                </c:pt>
                <c:pt idx="6">
                  <c:v>726514366.76999998</c:v>
                </c:pt>
                <c:pt idx="7">
                  <c:v>502318749.14000005</c:v>
                </c:pt>
                <c:pt idx="8">
                  <c:v>526323199.38</c:v>
                </c:pt>
                <c:pt idx="9">
                  <c:v>490549020.81999999</c:v>
                </c:pt>
                <c:pt idx="10">
                  <c:v>528418700.12</c:v>
                </c:pt>
                <c:pt idx="11">
                  <c:v>754432252.75999999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D-4AA7-9725-2D0738F28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060544"/>
        <c:axId val="229911936"/>
      </c:lineChart>
      <c:catAx>
        <c:axId val="2300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991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911936"/>
        <c:scaling>
          <c:orientation val="minMax"/>
          <c:max val="765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0060544"/>
        <c:crosses val="autoZero"/>
        <c:crossBetween val="between"/>
        <c:majorUnit val="85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18"/>
          <c:y val="0.19821849593495941"/>
          <c:w val="0.80000153186567835"/>
          <c:h val="0.53886077235772367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(kum)'!$E$28:$E$39</c:f>
              <c:numCache>
                <c:formatCode>#\ ##0_ ;\-#\ ##0\ </c:formatCode>
                <c:ptCount val="12"/>
                <c:pt idx="0">
                  <c:v>38459474.730000004</c:v>
                </c:pt>
                <c:pt idx="1">
                  <c:v>52212963.390000001</c:v>
                </c:pt>
                <c:pt idx="2">
                  <c:v>324943696.54999995</c:v>
                </c:pt>
                <c:pt idx="3">
                  <c:v>411242551.25999999</c:v>
                </c:pt>
                <c:pt idx="4">
                  <c:v>412178356.30000001</c:v>
                </c:pt>
                <c:pt idx="5">
                  <c:v>697946548.50999999</c:v>
                </c:pt>
                <c:pt idx="6">
                  <c:v>987531064.5</c:v>
                </c:pt>
                <c:pt idx="7">
                  <c:v>987531064.5</c:v>
                </c:pt>
                <c:pt idx="8">
                  <c:v>1192316681.1199999</c:v>
                </c:pt>
                <c:pt idx="9">
                  <c:v>1270954706.9699998</c:v>
                </c:pt>
                <c:pt idx="10">
                  <c:v>1287179132.9699998</c:v>
                </c:pt>
                <c:pt idx="11">
                  <c:v>1566737436.8199997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B-496F-9BAD-A4668ADC2DB8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(kum)'!$F$28:$F$39</c:f>
              <c:numCache>
                <c:formatCode>#\ ##0_ ;\-#\ ##0\ </c:formatCode>
                <c:ptCount val="12"/>
                <c:pt idx="0">
                  <c:v>129002083.33333333</c:v>
                </c:pt>
                <c:pt idx="1">
                  <c:v>258004166.66666666</c:v>
                </c:pt>
                <c:pt idx="2">
                  <c:v>387006250</c:v>
                </c:pt>
                <c:pt idx="3">
                  <c:v>516008333.33333331</c:v>
                </c:pt>
                <c:pt idx="4">
                  <c:v>645010416.66666663</c:v>
                </c:pt>
                <c:pt idx="5">
                  <c:v>774012500</c:v>
                </c:pt>
                <c:pt idx="6">
                  <c:v>903014583.33333325</c:v>
                </c:pt>
                <c:pt idx="7">
                  <c:v>1032016666.6666666</c:v>
                </c:pt>
                <c:pt idx="8">
                  <c:v>1161018750</c:v>
                </c:pt>
                <c:pt idx="9">
                  <c:v>1290020833.3333333</c:v>
                </c:pt>
                <c:pt idx="10">
                  <c:v>1419022916.6666665</c:v>
                </c:pt>
                <c:pt idx="11">
                  <c:v>1548025000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B-496F-9BAD-A4668ADC2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70912"/>
        <c:axId val="229913664"/>
      </c:lineChart>
      <c:catAx>
        <c:axId val="2296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9913664"/>
        <c:crosses val="autoZero"/>
        <c:auto val="1"/>
        <c:lblAlgn val="ctr"/>
        <c:lblOffset val="100"/>
        <c:noMultiLvlLbl val="0"/>
      </c:catAx>
      <c:valAx>
        <c:axId val="229913664"/>
        <c:scaling>
          <c:orientation val="minMax"/>
          <c:max val="16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9670912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b="1" i="0" baseline="0"/>
          </a:pPr>
          <a:endParaRPr lang="cs-CZ"/>
        </a:p>
      </c:txPr>
    </c:legend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19338888888888889"/>
          <c:w val="0.80078125000000222"/>
          <c:h val="0.555059906291835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(kum)'!$H$28:$H$39</c:f>
              <c:numCache>
                <c:formatCode>#\ ##0_ ;\-#\ ##0\ </c:formatCode>
                <c:ptCount val="12"/>
                <c:pt idx="0">
                  <c:v>275032128.78000003</c:v>
                </c:pt>
                <c:pt idx="1">
                  <c:v>622262721.55999994</c:v>
                </c:pt>
                <c:pt idx="2">
                  <c:v>773974930.99000001</c:v>
                </c:pt>
                <c:pt idx="3">
                  <c:v>959794870.49000001</c:v>
                </c:pt>
                <c:pt idx="4">
                  <c:v>1310435667.45</c:v>
                </c:pt>
                <c:pt idx="5">
                  <c:v>1515698219.9100001</c:v>
                </c:pt>
                <c:pt idx="6">
                  <c:v>1786721462.1400001</c:v>
                </c:pt>
                <c:pt idx="7">
                  <c:v>2127281275.6800001</c:v>
                </c:pt>
                <c:pt idx="8">
                  <c:v>2290319799.29</c:v>
                </c:pt>
                <c:pt idx="9">
                  <c:v>2555674611.0999999</c:v>
                </c:pt>
                <c:pt idx="10">
                  <c:v>2898604995.7599998</c:v>
                </c:pt>
                <c:pt idx="11">
                  <c:v>3177404084.8199997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7-4E21-A31E-FAA952DCEB55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(kum)'!$I$28:$I$39</c:f>
              <c:numCache>
                <c:formatCode>#\ ##0_ ;\-#\ ##0\ </c:formatCode>
                <c:ptCount val="12"/>
                <c:pt idx="0">
                  <c:v>265130750</c:v>
                </c:pt>
                <c:pt idx="1">
                  <c:v>530261500</c:v>
                </c:pt>
                <c:pt idx="2">
                  <c:v>795392250</c:v>
                </c:pt>
                <c:pt idx="3">
                  <c:v>1060523000</c:v>
                </c:pt>
                <c:pt idx="4">
                  <c:v>1325653750</c:v>
                </c:pt>
                <c:pt idx="5">
                  <c:v>1590784500</c:v>
                </c:pt>
                <c:pt idx="6">
                  <c:v>1855915250</c:v>
                </c:pt>
                <c:pt idx="7">
                  <c:v>2121046000</c:v>
                </c:pt>
                <c:pt idx="8">
                  <c:v>2386176750</c:v>
                </c:pt>
                <c:pt idx="9">
                  <c:v>2651307500</c:v>
                </c:pt>
                <c:pt idx="10">
                  <c:v>2916438250</c:v>
                </c:pt>
                <c:pt idx="11">
                  <c:v>3181569000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7-4E21-A31E-FAA952DC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72448"/>
        <c:axId val="229915392"/>
      </c:lineChart>
      <c:catAx>
        <c:axId val="22967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/>
            </a:pPr>
            <a:endParaRPr lang="cs-CZ"/>
          </a:p>
        </c:txPr>
        <c:crossAx val="229915392"/>
        <c:crosses val="autoZero"/>
        <c:auto val="1"/>
        <c:lblAlgn val="ctr"/>
        <c:lblOffset val="100"/>
        <c:noMultiLvlLbl val="0"/>
      </c:catAx>
      <c:valAx>
        <c:axId val="229915392"/>
        <c:scaling>
          <c:orientation val="minMax"/>
          <c:max val="32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672448"/>
        <c:crosses val="autoZero"/>
        <c:crossBetween val="between"/>
        <c:majorUnit val="400000000"/>
        <c:min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7"/>
          <c:y val="0.18427878179384224"/>
          <c:w val="0.8086643835616435"/>
          <c:h val="0.5475478580990628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(kum)'!$B$8:$B$19</c:f>
              <c:numCache>
                <c:formatCode>#\ ##0_ ;\-#\ ##0\ </c:formatCode>
                <c:ptCount val="12"/>
                <c:pt idx="0">
                  <c:v>131228320.12</c:v>
                </c:pt>
                <c:pt idx="1">
                  <c:v>264343906.47</c:v>
                </c:pt>
                <c:pt idx="2">
                  <c:v>371939120.75999999</c:v>
                </c:pt>
                <c:pt idx="3">
                  <c:v>466793188.63</c:v>
                </c:pt>
                <c:pt idx="4">
                  <c:v>584012889.95000005</c:v>
                </c:pt>
                <c:pt idx="5">
                  <c:v>723098493.80000007</c:v>
                </c:pt>
                <c:pt idx="6">
                  <c:v>858241211.45000005</c:v>
                </c:pt>
                <c:pt idx="7">
                  <c:v>995914807.54000008</c:v>
                </c:pt>
                <c:pt idx="8">
                  <c:v>1122660155.8000002</c:v>
                </c:pt>
                <c:pt idx="9">
                  <c:v>1244878496.6300001</c:v>
                </c:pt>
                <c:pt idx="10">
                  <c:v>1390025048.9900002</c:v>
                </c:pt>
                <c:pt idx="11">
                  <c:v>1550184172.9400003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E-4705-9C64-4E016D4A7CF5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(kum)'!$C$8:$C$19</c:f>
              <c:numCache>
                <c:formatCode>#\ ##0_ ;\-#\ ##0\ </c:formatCode>
                <c:ptCount val="12"/>
                <c:pt idx="0">
                  <c:v>125019750</c:v>
                </c:pt>
                <c:pt idx="1">
                  <c:v>250039500</c:v>
                </c:pt>
                <c:pt idx="2">
                  <c:v>375059250</c:v>
                </c:pt>
                <c:pt idx="3">
                  <c:v>500079000</c:v>
                </c:pt>
                <c:pt idx="4">
                  <c:v>625098750</c:v>
                </c:pt>
                <c:pt idx="5">
                  <c:v>750118500</c:v>
                </c:pt>
                <c:pt idx="6">
                  <c:v>875138250</c:v>
                </c:pt>
                <c:pt idx="7">
                  <c:v>1000158000</c:v>
                </c:pt>
                <c:pt idx="8">
                  <c:v>1125177750</c:v>
                </c:pt>
                <c:pt idx="9">
                  <c:v>1250197500</c:v>
                </c:pt>
                <c:pt idx="10">
                  <c:v>1375217250</c:v>
                </c:pt>
                <c:pt idx="11">
                  <c:v>1500237000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E-4705-9C64-4E016D4A7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73472"/>
        <c:axId val="230548032"/>
      </c:lineChart>
      <c:catAx>
        <c:axId val="2296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60000" vert="horz"/>
          <a:lstStyle/>
          <a:p>
            <a:pPr>
              <a:defRPr/>
            </a:pPr>
            <a:endParaRPr lang="cs-CZ"/>
          </a:p>
        </c:txPr>
        <c:crossAx val="230548032"/>
        <c:crosses val="autoZero"/>
        <c:auto val="1"/>
        <c:lblAlgn val="ctr"/>
        <c:lblOffset val="100"/>
        <c:noMultiLvlLbl val="0"/>
      </c:catAx>
      <c:valAx>
        <c:axId val="230548032"/>
        <c:scaling>
          <c:orientation val="minMax"/>
          <c:max val="16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673472"/>
        <c:crosses val="autoZero"/>
        <c:crossBetween val="between"/>
        <c:majorUnit val="20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6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19776338688085712"/>
          <c:w val="0.81108523592085235"/>
          <c:h val="0.55829551539491362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(kum)'!$E$8:$E$19</c:f>
              <c:numCache>
                <c:formatCode>#\ ##0_ ;\-#\ ##0\ </c:formatCode>
                <c:ptCount val="12"/>
                <c:pt idx="0">
                  <c:v>8780378.8499999996</c:v>
                </c:pt>
                <c:pt idx="1">
                  <c:v>17686368.299999997</c:v>
                </c:pt>
                <c:pt idx="2">
                  <c:v>24887365.339999996</c:v>
                </c:pt>
                <c:pt idx="3">
                  <c:v>31233499.199999996</c:v>
                </c:pt>
                <c:pt idx="4">
                  <c:v>39075987.529999994</c:v>
                </c:pt>
                <c:pt idx="5">
                  <c:v>48381396.149999991</c:v>
                </c:pt>
                <c:pt idx="6">
                  <c:v>57423009.199999988</c:v>
                </c:pt>
                <c:pt idx="7">
                  <c:v>66633948.629999988</c:v>
                </c:pt>
                <c:pt idx="8">
                  <c:v>76416768.149999991</c:v>
                </c:pt>
                <c:pt idx="9">
                  <c:v>84742857.719999999</c:v>
                </c:pt>
                <c:pt idx="10">
                  <c:v>94630925.099999994</c:v>
                </c:pt>
                <c:pt idx="11">
                  <c:v>105541719.66999999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B-4C01-9AF0-CF16D251D185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(kum)'!$F$8:$F$19</c:f>
              <c:numCache>
                <c:formatCode>#\ ##0_ ;\-#\ ##0\ </c:formatCode>
                <c:ptCount val="12"/>
                <c:pt idx="0">
                  <c:v>8457250</c:v>
                </c:pt>
                <c:pt idx="1">
                  <c:v>16914500</c:v>
                </c:pt>
                <c:pt idx="2">
                  <c:v>25371750</c:v>
                </c:pt>
                <c:pt idx="3">
                  <c:v>33829000</c:v>
                </c:pt>
                <c:pt idx="4">
                  <c:v>42286250</c:v>
                </c:pt>
                <c:pt idx="5">
                  <c:v>50743500</c:v>
                </c:pt>
                <c:pt idx="6">
                  <c:v>59200750</c:v>
                </c:pt>
                <c:pt idx="7">
                  <c:v>67658000</c:v>
                </c:pt>
                <c:pt idx="8">
                  <c:v>76115250</c:v>
                </c:pt>
                <c:pt idx="9">
                  <c:v>84572500</c:v>
                </c:pt>
                <c:pt idx="10">
                  <c:v>93029750</c:v>
                </c:pt>
                <c:pt idx="11">
                  <c:v>101487000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B-4C01-9AF0-CF16D251D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74496"/>
        <c:axId val="230549760"/>
      </c:lineChart>
      <c:catAx>
        <c:axId val="22967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3054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549760"/>
        <c:scaling>
          <c:orientation val="minMax"/>
          <c:max val="12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9674496"/>
        <c:crosses val="autoZero"/>
        <c:crossBetween val="between"/>
        <c:majorUnit val="2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106" footer="0.49212598450000106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6"/>
          <c:y val="0.19751606425702842"/>
          <c:w val="0.78669351101309648"/>
          <c:h val="0.5472710843373495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(kum)'!$B$28:$B$39</c:f>
              <c:numCache>
                <c:formatCode>#\ ##0_ ;\-#\ ##0\ </c:formatCode>
                <c:ptCount val="12"/>
                <c:pt idx="0">
                  <c:v>11285625.260000002</c:v>
                </c:pt>
                <c:pt idx="1">
                  <c:v>25782634.440000001</c:v>
                </c:pt>
                <c:pt idx="2">
                  <c:v>33534186.880000003</c:v>
                </c:pt>
                <c:pt idx="3">
                  <c:v>42506374.140000001</c:v>
                </c:pt>
                <c:pt idx="4">
                  <c:v>52857809.450000003</c:v>
                </c:pt>
                <c:pt idx="5">
                  <c:v>65724477.310000002</c:v>
                </c:pt>
                <c:pt idx="6">
                  <c:v>80212695.950000003</c:v>
                </c:pt>
                <c:pt idx="7">
                  <c:v>95087096.030000001</c:v>
                </c:pt>
                <c:pt idx="8">
                  <c:v>110944410.15000001</c:v>
                </c:pt>
                <c:pt idx="9">
                  <c:v>124102025.17</c:v>
                </c:pt>
                <c:pt idx="10">
                  <c:v>136303745.38</c:v>
                </c:pt>
                <c:pt idx="11">
                  <c:v>147150464.68000001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C-4C4E-91C7-C9B6FE023B12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(kum)'!$C$28:$C$39</c:f>
              <c:numCache>
                <c:formatCode>#\ ##0_ ;\-#\ ##0\ </c:formatCode>
                <c:ptCount val="12"/>
                <c:pt idx="0">
                  <c:v>12165250</c:v>
                </c:pt>
                <c:pt idx="1">
                  <c:v>24330500</c:v>
                </c:pt>
                <c:pt idx="2">
                  <c:v>36495750</c:v>
                </c:pt>
                <c:pt idx="3">
                  <c:v>48661000</c:v>
                </c:pt>
                <c:pt idx="4">
                  <c:v>60826250</c:v>
                </c:pt>
                <c:pt idx="5">
                  <c:v>72991500</c:v>
                </c:pt>
                <c:pt idx="6">
                  <c:v>85156750</c:v>
                </c:pt>
                <c:pt idx="7">
                  <c:v>97322000</c:v>
                </c:pt>
                <c:pt idx="8">
                  <c:v>109487250</c:v>
                </c:pt>
                <c:pt idx="9">
                  <c:v>121652500</c:v>
                </c:pt>
                <c:pt idx="10">
                  <c:v>133817750</c:v>
                </c:pt>
                <c:pt idx="11">
                  <c:v>145983000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C-4C4E-91C7-C9B6FE023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404608"/>
        <c:axId val="230551488"/>
      </c:lineChart>
      <c:catAx>
        <c:axId val="23040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3055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551488"/>
        <c:scaling>
          <c:orientation val="minMax"/>
          <c:max val="16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0404608"/>
        <c:crosses val="autoZero"/>
        <c:crossBetween val="between"/>
        <c:majorUnit val="2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 *</a:t>
            </a:r>
          </a:p>
        </c:rich>
      </c:tx>
      <c:layout>
        <c:manualLayout>
          <c:xMode val="edge"/>
          <c:yMode val="edge"/>
          <c:x val="0.22044121004566211"/>
          <c:y val="4.14936412315930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18915562248995985"/>
          <c:w val="0.8294133528901515"/>
          <c:h val="0.56257095046854189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(kum)'!$H$8:$H$19</c:f>
              <c:numCache>
                <c:formatCode>#\ ##0_ ;\-#\ ##0\ </c:formatCode>
                <c:ptCount val="12"/>
                <c:pt idx="0">
                  <c:v>14680684.859999999</c:v>
                </c:pt>
                <c:pt idx="1">
                  <c:v>14680684.859999999</c:v>
                </c:pt>
                <c:pt idx="2">
                  <c:v>14680684.859999999</c:v>
                </c:pt>
                <c:pt idx="3">
                  <c:v>14680684.859999999</c:v>
                </c:pt>
                <c:pt idx="4">
                  <c:v>14680684.859999999</c:v>
                </c:pt>
                <c:pt idx="5">
                  <c:v>14680684.859999999</c:v>
                </c:pt>
                <c:pt idx="6">
                  <c:v>14680684.859999999</c:v>
                </c:pt>
                <c:pt idx="7">
                  <c:v>14680684.859999999</c:v>
                </c:pt>
                <c:pt idx="8">
                  <c:v>14680684.859999999</c:v>
                </c:pt>
                <c:pt idx="9">
                  <c:v>14680684.859999999</c:v>
                </c:pt>
                <c:pt idx="10">
                  <c:v>14680684.859999999</c:v>
                </c:pt>
                <c:pt idx="11">
                  <c:v>14680684.859999999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F-49CE-A3C7-57C9859AE21F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(kum)'!$I$8:$I$19</c:f>
              <c:numCache>
                <c:formatCode>#\ ##0_ ;\-#\ ##0\ </c:formatCode>
                <c:ptCount val="12"/>
                <c:pt idx="0">
                  <c:v>1223333.3333333333</c:v>
                </c:pt>
                <c:pt idx="1">
                  <c:v>2446666.6666666665</c:v>
                </c:pt>
                <c:pt idx="2">
                  <c:v>3670000</c:v>
                </c:pt>
                <c:pt idx="3">
                  <c:v>4893333.333333333</c:v>
                </c:pt>
                <c:pt idx="4">
                  <c:v>6116666.666666666</c:v>
                </c:pt>
                <c:pt idx="5">
                  <c:v>7340000</c:v>
                </c:pt>
                <c:pt idx="6">
                  <c:v>8563333.3333333321</c:v>
                </c:pt>
                <c:pt idx="7">
                  <c:v>9786666.666666666</c:v>
                </c:pt>
                <c:pt idx="8">
                  <c:v>11010000</c:v>
                </c:pt>
                <c:pt idx="9">
                  <c:v>12233333.333333332</c:v>
                </c:pt>
                <c:pt idx="10">
                  <c:v>13456666.666666666</c:v>
                </c:pt>
                <c:pt idx="11">
                  <c:v>14680000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F-49CE-A3C7-57C9859AE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405632"/>
        <c:axId val="230553216"/>
      </c:lineChart>
      <c:catAx>
        <c:axId val="23040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3055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553216"/>
        <c:scaling>
          <c:orientation val="minMax"/>
          <c:max val="18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0405632"/>
        <c:crosses val="autoZero"/>
        <c:crossBetween val="between"/>
        <c:majorUnit val="3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1565361445783141"/>
          <c:w val="0.79256435811020409"/>
          <c:h val="0.53789892904953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(kum)'!$K$8:$K$19</c:f>
              <c:numCache>
                <c:formatCode>#\ ##0_ ;\-#\ ##0\ </c:formatCode>
                <c:ptCount val="12"/>
                <c:pt idx="0">
                  <c:v>3839840.5500000003</c:v>
                </c:pt>
                <c:pt idx="1">
                  <c:v>5558777.5999999996</c:v>
                </c:pt>
                <c:pt idx="2">
                  <c:v>9822861.3300000001</c:v>
                </c:pt>
                <c:pt idx="3">
                  <c:v>9822861.3300000001</c:v>
                </c:pt>
                <c:pt idx="4">
                  <c:v>9822861.3300000001</c:v>
                </c:pt>
                <c:pt idx="5">
                  <c:v>9822861.3300000001</c:v>
                </c:pt>
                <c:pt idx="6">
                  <c:v>17056920.539999999</c:v>
                </c:pt>
                <c:pt idx="7">
                  <c:v>17056920.539999999</c:v>
                </c:pt>
                <c:pt idx="8">
                  <c:v>23170497.789999999</c:v>
                </c:pt>
                <c:pt idx="9">
                  <c:v>26024635.530000001</c:v>
                </c:pt>
                <c:pt idx="10">
                  <c:v>28052185.040000003</c:v>
                </c:pt>
                <c:pt idx="11">
                  <c:v>42210407.07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3-48B8-82D3-4CE4E1D77CB6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(kum)'!$L$8:$L$19</c:f>
              <c:numCache>
                <c:formatCode>#\ ##0_ ;\-#\ ##0\ </c:formatCode>
                <c:ptCount val="12"/>
                <c:pt idx="0">
                  <c:v>3449916.6666666665</c:v>
                </c:pt>
                <c:pt idx="1">
                  <c:v>6899833.333333333</c:v>
                </c:pt>
                <c:pt idx="2">
                  <c:v>10349750</c:v>
                </c:pt>
                <c:pt idx="3">
                  <c:v>13799666.666666666</c:v>
                </c:pt>
                <c:pt idx="4">
                  <c:v>17249583.333333332</c:v>
                </c:pt>
                <c:pt idx="5">
                  <c:v>20699500</c:v>
                </c:pt>
                <c:pt idx="6">
                  <c:v>24149416.666666664</c:v>
                </c:pt>
                <c:pt idx="7">
                  <c:v>27599333.333333332</c:v>
                </c:pt>
                <c:pt idx="8">
                  <c:v>31049250</c:v>
                </c:pt>
                <c:pt idx="9">
                  <c:v>34499166.666666664</c:v>
                </c:pt>
                <c:pt idx="10">
                  <c:v>37949083.333333328</c:v>
                </c:pt>
                <c:pt idx="11">
                  <c:v>41399000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3-48B8-82D3-4CE4E1D77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406656"/>
        <c:axId val="230554944"/>
      </c:lineChart>
      <c:catAx>
        <c:axId val="23040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3055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554944"/>
        <c:scaling>
          <c:orientation val="minMax"/>
          <c:max val="45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0406656"/>
        <c:crosses val="autoZero"/>
        <c:crossBetween val="between"/>
        <c:majorUnit val="5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2017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209002677376172"/>
          <c:w val="0.78515625"/>
          <c:h val="0.53610174029451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(kum)'!$K$28:$K$39</c:f>
              <c:numCache>
                <c:formatCode>#\ ##0_ ;\-#\ ##0\ </c:formatCode>
                <c:ptCount val="12"/>
                <c:pt idx="0">
                  <c:v>483306453.15000004</c:v>
                </c:pt>
                <c:pt idx="1">
                  <c:v>1002528056.6199999</c:v>
                </c:pt>
                <c:pt idx="2">
                  <c:v>1553782846.71</c:v>
                </c:pt>
                <c:pt idx="3">
                  <c:v>1936074029.9099998</c:v>
                </c:pt>
                <c:pt idx="4">
                  <c:v>2423064256.8699999</c:v>
                </c:pt>
                <c:pt idx="5">
                  <c:v>3075352681.8699999</c:v>
                </c:pt>
                <c:pt idx="6">
                  <c:v>3801867048.6400003</c:v>
                </c:pt>
                <c:pt idx="7">
                  <c:v>4304185797.7799997</c:v>
                </c:pt>
                <c:pt idx="8">
                  <c:v>4830508997.1599998</c:v>
                </c:pt>
                <c:pt idx="9">
                  <c:v>5321058017.9799995</c:v>
                </c:pt>
                <c:pt idx="10">
                  <c:v>5849476718.0999994</c:v>
                </c:pt>
                <c:pt idx="11">
                  <c:v>6603908970.8599997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3-4AC2-95A6-FC5A24564506}"/>
            </c:ext>
          </c:extLst>
        </c:ser>
        <c:ser>
          <c:idx val="1"/>
          <c:order val="1"/>
          <c:tx>
            <c:v>plán</c:v>
          </c:tx>
          <c:spPr>
            <a:ln w="25400"/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(kum)'!$L$28:$L$39</c:f>
              <c:numCache>
                <c:formatCode>#\ ##0_ ;\-#\ ##0\ </c:formatCode>
                <c:ptCount val="12"/>
                <c:pt idx="0">
                  <c:v>544448333.33333337</c:v>
                </c:pt>
                <c:pt idx="1">
                  <c:v>1088896666.6666667</c:v>
                </c:pt>
                <c:pt idx="2">
                  <c:v>1633345000</c:v>
                </c:pt>
                <c:pt idx="3">
                  <c:v>2177793333.3333335</c:v>
                </c:pt>
                <c:pt idx="4">
                  <c:v>2722241666.666667</c:v>
                </c:pt>
                <c:pt idx="5">
                  <c:v>3266690000</c:v>
                </c:pt>
                <c:pt idx="6">
                  <c:v>3811138333.3333335</c:v>
                </c:pt>
                <c:pt idx="7">
                  <c:v>4355586666.666667</c:v>
                </c:pt>
                <c:pt idx="8">
                  <c:v>4900035000</c:v>
                </c:pt>
                <c:pt idx="9">
                  <c:v>5444483333.333334</c:v>
                </c:pt>
                <c:pt idx="10">
                  <c:v>5988931666.666667</c:v>
                </c:pt>
                <c:pt idx="11">
                  <c:v>6533380000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3-4AC2-95A6-FC5A24564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407680"/>
        <c:axId val="230835328"/>
      </c:lineChart>
      <c:catAx>
        <c:axId val="2304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30835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835328"/>
        <c:scaling>
          <c:orientation val="minMax"/>
          <c:max val="70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0407680"/>
        <c:crosses val="autoZero"/>
        <c:crossBetween val="between"/>
        <c:majorUnit val="100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(měs)'!$B$28:$B$39</c:f>
              <c:numCache>
                <c:formatCode>#\ ##0_ ;\-#\ ##0\ </c:formatCode>
                <c:ptCount val="12"/>
                <c:pt idx="0">
                  <c:v>42049856.450000003</c:v>
                </c:pt>
                <c:pt idx="1">
                  <c:v>8417186.4000000004</c:v>
                </c:pt>
                <c:pt idx="2">
                  <c:v>275838123.50999999</c:v>
                </c:pt>
                <c:pt idx="3">
                  <c:v>89634557.189999998</c:v>
                </c:pt>
                <c:pt idx="4">
                  <c:v>731003.92</c:v>
                </c:pt>
                <c:pt idx="5">
                  <c:v>295584966.87</c:v>
                </c:pt>
                <c:pt idx="6">
                  <c:v>292945668.03999996</c:v>
                </c:pt>
                <c:pt idx="7">
                  <c:v>0</c:v>
                </c:pt>
                <c:pt idx="8">
                  <c:v>118575134.48</c:v>
                </c:pt>
                <c:pt idx="9">
                  <c:v>144611533.48000002</c:v>
                </c:pt>
                <c:pt idx="10">
                  <c:v>10946617.25</c:v>
                </c:pt>
                <c:pt idx="11">
                  <c:v>222270822.72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D-4140-A5D9-7B91A5969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04352"/>
        <c:axId val="230837056"/>
      </c:lineChart>
      <c:catAx>
        <c:axId val="2312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837056"/>
        <c:crosses val="autoZero"/>
        <c:auto val="1"/>
        <c:lblAlgn val="ctr"/>
        <c:lblOffset val="100"/>
        <c:noMultiLvlLbl val="0"/>
      </c:catAx>
      <c:valAx>
        <c:axId val="23083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204352"/>
        <c:crosses val="autoZero"/>
        <c:crossBetween val="between"/>
        <c:majorUnit val="4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2200" b="1" i="0" baseline="0">
                <a:solidFill>
                  <a:sysClr val="windowText" lastClr="000000"/>
                </a:solidFill>
                <a:effectLst/>
                <a:latin typeface="+mj-lt"/>
              </a:rPr>
              <a:t>Vývoj výnosů SMO z daně z přidané hodnoty</a:t>
            </a:r>
            <a:endParaRPr lang="cs-CZ" sz="2200" b="1">
              <a:solidFill>
                <a:sysClr val="windowText" lastClr="000000"/>
              </a:solidFill>
              <a:effectLst/>
              <a:latin typeface="+mj-lt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cs-CZ" sz="1200" b="1" i="0" baseline="0">
                <a:solidFill>
                  <a:sysClr val="windowText" lastClr="000000"/>
                </a:solidFill>
                <a:effectLst/>
                <a:latin typeface="+mj-lt"/>
              </a:rPr>
              <a:t>(včetně meziročních změn v %)</a:t>
            </a:r>
            <a:endParaRPr lang="cs-CZ" sz="1200">
              <a:solidFill>
                <a:sysClr val="windowText" lastClr="000000"/>
              </a:solidFill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'Vývoj2015-24'!$A$12:$A$13</c:f>
              <c:strCache>
                <c:ptCount val="1"/>
                <c:pt idx="0">
                  <c:v>Daň z přidané hodnoty</c:v>
                </c:pt>
              </c:strCache>
            </c:strRef>
          </c:tx>
          <c:spPr>
            <a:pattFill prst="pct90">
              <a:fgClr>
                <a:srgbClr val="003C69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E64AF03-0F7D-4E40-92E3-D1E3396539AE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0C5A-4110-BA9F-E05F95B2EAB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F2C21E5-A91E-421B-86F2-947C7B8FCB96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C5A-4110-BA9F-E05F95B2EAB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F279ADB-3BC2-41CB-ABA2-F53721300F1F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C5A-4110-BA9F-E05F95B2EAB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BEB3979-E260-4580-9721-64154BABFF8E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C5A-4110-BA9F-E05F95B2EAB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D458E5A-D03F-45D0-BC4A-16A3CE12EA16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C5A-4110-BA9F-E05F95B2EAB6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AB2EC-18D2-4E18-855E-B82121732C87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C5A-4110-BA9F-E05F95B2EAB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5FB5613-C103-4B4C-A453-6BA553D4AC93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C5A-4110-BA9F-E05F95B2EAB6}"/>
                </c:ext>
              </c:extLst>
            </c:dLbl>
            <c:dLbl>
              <c:idx val="7"/>
              <c:layout>
                <c:manualLayout>
                  <c:x val="9.652186402131643E-17"/>
                  <c:y val="1.9930244145490781E-3"/>
                </c:manualLayout>
              </c:layout>
              <c:tx>
                <c:rich>
                  <a:bodyPr/>
                  <a:lstStyle/>
                  <a:p>
                    <a:fld id="{3F985A49-C096-4E6C-A20F-BCE994E73C2B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C5A-4110-BA9F-E05F95B2EAB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0BD7634-5F45-4724-8B93-0223C52C89B6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C5A-4110-BA9F-E05F95B2EAB6}"/>
                </c:ext>
              </c:extLst>
            </c:dLbl>
            <c:dLbl>
              <c:idx val="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C1E2BFF-2A4B-45E0-9065-45116F89F044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C5A-4110-BA9F-E05F95B2EA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'Vývoj2015-24'!$R$3:$AA$3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'Vývoj2015-24'!$R$12:$AA$12</c:f>
              <c:numCache>
                <c:formatCode>#,##0</c:formatCode>
                <c:ptCount val="10"/>
                <c:pt idx="0">
                  <c:v>2698545507.9899998</c:v>
                </c:pt>
                <c:pt idx="1">
                  <c:v>2814007939.02</c:v>
                </c:pt>
                <c:pt idx="2">
                  <c:v>3177404084.8200002</c:v>
                </c:pt>
                <c:pt idx="3">
                  <c:v>3698685906.6599998</c:v>
                </c:pt>
                <c:pt idx="4">
                  <c:v>3838579017.2199998</c:v>
                </c:pt>
                <c:pt idx="5">
                  <c:v>3770485099.27</c:v>
                </c:pt>
                <c:pt idx="6">
                  <c:v>4373309276.6899996</c:v>
                </c:pt>
                <c:pt idx="7">
                  <c:v>5098668513.0900002</c:v>
                </c:pt>
                <c:pt idx="8">
                  <c:v>5316407954.6099997</c:v>
                </c:pt>
                <c:pt idx="9">
                  <c:v>5271516085.3000002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'Vývoj2015-24'!$R$13:$AA$13</c15:f>
                <c15:dlblRangeCache>
                  <c:ptCount val="10"/>
                  <c:pt idx="0">
                    <c:v>1,16 %</c:v>
                  </c:pt>
                  <c:pt idx="1">
                    <c:v>4,28 %</c:v>
                  </c:pt>
                  <c:pt idx="2">
                    <c:v>12,91 %</c:v>
                  </c:pt>
                  <c:pt idx="3">
                    <c:v>16,41 %</c:v>
                  </c:pt>
                  <c:pt idx="4">
                    <c:v>3,78 %</c:v>
                  </c:pt>
                  <c:pt idx="5">
                    <c:v>-1,77 %</c:v>
                  </c:pt>
                  <c:pt idx="6">
                    <c:v>15,99 %</c:v>
                  </c:pt>
                  <c:pt idx="7">
                    <c:v>16,59 %</c:v>
                  </c:pt>
                  <c:pt idx="8">
                    <c:v>4,27 %</c:v>
                  </c:pt>
                  <c:pt idx="9">
                    <c:v>-0,84 %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0C5A-4110-BA9F-E05F95B2E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20645888"/>
        <c:axId val="215795392"/>
      </c:barChart>
      <c:catAx>
        <c:axId val="22064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5795392"/>
        <c:crosses val="autoZero"/>
        <c:auto val="1"/>
        <c:lblAlgn val="ctr"/>
        <c:lblOffset val="100"/>
        <c:noMultiLvlLbl val="0"/>
      </c:catAx>
      <c:valAx>
        <c:axId val="215795392"/>
        <c:scaling>
          <c:orientation val="minMax"/>
          <c:max val="6000000000"/>
          <c:min val="15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45888"/>
        <c:crosses val="autoZero"/>
        <c:crossBetween val="between"/>
        <c:majorUnit val="5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userShapes r:id="rId3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(měs)'!$A$28:$A$39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(měs)'!$E$28:$E$39</c:f>
              <c:numCache>
                <c:formatCode>#\ ##0_ ;\-#\ ##0\ </c:formatCode>
                <c:ptCount val="12"/>
                <c:pt idx="0">
                  <c:v>298788186.83999997</c:v>
                </c:pt>
                <c:pt idx="1">
                  <c:v>414077487.31999999</c:v>
                </c:pt>
                <c:pt idx="2">
                  <c:v>194379745.97</c:v>
                </c:pt>
                <c:pt idx="3">
                  <c:v>220657185.78</c:v>
                </c:pt>
                <c:pt idx="4">
                  <c:v>357278358.06</c:v>
                </c:pt>
                <c:pt idx="5">
                  <c:v>261375020.03</c:v>
                </c:pt>
                <c:pt idx="6">
                  <c:v>302608177.75</c:v>
                </c:pt>
                <c:pt idx="7">
                  <c:v>392482894.35000002</c:v>
                </c:pt>
                <c:pt idx="8">
                  <c:v>222304187.11000001</c:v>
                </c:pt>
                <c:pt idx="9">
                  <c:v>286337881.31</c:v>
                </c:pt>
                <c:pt idx="10">
                  <c:v>404597424.04000002</c:v>
                </c:pt>
                <c:pt idx="11">
                  <c:v>343799358.10000002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D-4553-B812-B365337F3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936576"/>
        <c:axId val="230838784"/>
      </c:lineChart>
      <c:catAx>
        <c:axId val="230936576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838784"/>
        <c:crosses val="autoZero"/>
        <c:auto val="1"/>
        <c:lblAlgn val="ctr"/>
        <c:lblOffset val="100"/>
        <c:noMultiLvlLbl val="0"/>
      </c:catAx>
      <c:valAx>
        <c:axId val="23083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936576"/>
        <c:crosses val="autoZero"/>
        <c:crossBetween val="between"/>
        <c:majorUnit val="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(měs)'!$B$8:$B$19</c:f>
              <c:numCache>
                <c:formatCode>#\ ##0_ ;\-#\ ##0\ </c:formatCode>
                <c:ptCount val="12"/>
                <c:pt idx="0">
                  <c:v>151081324.05000001</c:v>
                </c:pt>
                <c:pt idx="1">
                  <c:v>147933278.06999999</c:v>
                </c:pt>
                <c:pt idx="2">
                  <c:v>122404952.69</c:v>
                </c:pt>
                <c:pt idx="3">
                  <c:v>103188106.55</c:v>
                </c:pt>
                <c:pt idx="4">
                  <c:v>136572507.46000001</c:v>
                </c:pt>
                <c:pt idx="5">
                  <c:v>157745875.93000001</c:v>
                </c:pt>
                <c:pt idx="6">
                  <c:v>146265834.93000001</c:v>
                </c:pt>
                <c:pt idx="7">
                  <c:v>161021818.90000001</c:v>
                </c:pt>
                <c:pt idx="8">
                  <c:v>135493331.57999998</c:v>
                </c:pt>
                <c:pt idx="9">
                  <c:v>146991128.34999999</c:v>
                </c:pt>
                <c:pt idx="10">
                  <c:v>153096816.72</c:v>
                </c:pt>
                <c:pt idx="11">
                  <c:v>174169701.38999999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A-46C1-BB15-A044FD2AE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937600"/>
        <c:axId val="230840512"/>
      </c:lineChart>
      <c:catAx>
        <c:axId val="23093760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840512"/>
        <c:crosses val="autoZero"/>
        <c:auto val="1"/>
        <c:lblAlgn val="ctr"/>
        <c:lblOffset val="100"/>
        <c:noMultiLvlLbl val="0"/>
      </c:catAx>
      <c:valAx>
        <c:axId val="23084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937600"/>
        <c:crosses val="autoZero"/>
        <c:crossBetween val="between"/>
        <c:majorUnit val="2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(měs)'!$E$8:$E$19</c:f>
              <c:numCache>
                <c:formatCode>#\ ##0_ ;\-#\ ##0\ </c:formatCode>
                <c:ptCount val="12"/>
                <c:pt idx="0">
                  <c:v>10349353.879999999</c:v>
                </c:pt>
                <c:pt idx="1">
                  <c:v>10170358.280000001</c:v>
                </c:pt>
                <c:pt idx="2">
                  <c:v>8415295.3399999999</c:v>
                </c:pt>
                <c:pt idx="3">
                  <c:v>7094144.2599999998</c:v>
                </c:pt>
                <c:pt idx="4">
                  <c:v>9389309.4700000007</c:v>
                </c:pt>
                <c:pt idx="5">
                  <c:v>10844970.76</c:v>
                </c:pt>
                <c:pt idx="6">
                  <c:v>10055722.18</c:v>
                </c:pt>
                <c:pt idx="7">
                  <c:v>11070190.629999999</c:v>
                </c:pt>
                <c:pt idx="8">
                  <c:v>8837395.4499999993</c:v>
                </c:pt>
                <c:pt idx="9">
                  <c:v>10047156.59</c:v>
                </c:pt>
                <c:pt idx="10">
                  <c:v>10464493.41</c:v>
                </c:pt>
                <c:pt idx="11">
                  <c:v>11904869.98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F-4E27-81E5-4CAAA3B68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938112"/>
        <c:axId val="230998016"/>
      </c:lineChart>
      <c:catAx>
        <c:axId val="230938112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998016"/>
        <c:crosses val="autoZero"/>
        <c:auto val="1"/>
        <c:lblAlgn val="ctr"/>
        <c:lblOffset val="100"/>
        <c:noMultiLvlLbl val="0"/>
      </c:catAx>
      <c:valAx>
        <c:axId val="230998016"/>
        <c:scaling>
          <c:orientation val="minMax"/>
          <c:max val="16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93811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(měs)'!$K$8:$K$19</c:f>
              <c:numCache>
                <c:formatCode>#\ ##0_ ;\-#\ ##0\ </c:formatCode>
                <c:ptCount val="12"/>
                <c:pt idx="0">
                  <c:v>10395611.68</c:v>
                </c:pt>
                <c:pt idx="1">
                  <c:v>15281464.699999999</c:v>
                </c:pt>
                <c:pt idx="2">
                  <c:v>8558006.4400000013</c:v>
                </c:pt>
                <c:pt idx="3">
                  <c:v>10192119.27</c:v>
                </c:pt>
                <c:pt idx="4">
                  <c:v>12071760.120000001</c:v>
                </c:pt>
                <c:pt idx="5">
                  <c:v>14132394.699999999</c:v>
                </c:pt>
                <c:pt idx="6">
                  <c:v>17481230.129999999</c:v>
                </c:pt>
                <c:pt idx="7">
                  <c:v>18007954.699999999</c:v>
                </c:pt>
                <c:pt idx="8">
                  <c:v>15869440.379999999</c:v>
                </c:pt>
                <c:pt idx="9">
                  <c:v>15942768.92</c:v>
                </c:pt>
                <c:pt idx="10">
                  <c:v>13549129.43</c:v>
                </c:pt>
                <c:pt idx="11">
                  <c:v>12101982.68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0-4DDA-9281-9523BC0C1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940160"/>
        <c:axId val="230999744"/>
      </c:lineChart>
      <c:catAx>
        <c:axId val="23094016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999744"/>
        <c:crosses val="autoZero"/>
        <c:auto val="1"/>
        <c:lblAlgn val="ctr"/>
        <c:lblOffset val="100"/>
        <c:noMultiLvlLbl val="0"/>
      </c:catAx>
      <c:valAx>
        <c:axId val="230999744"/>
        <c:scaling>
          <c:orientation val="minMax"/>
          <c:max val="2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940160"/>
        <c:crosses val="autoZero"/>
        <c:crossBetween val="between"/>
        <c:majorUnit val="3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(měs)'!$H$8:$H$19</c:f>
              <c:numCache>
                <c:formatCode>#\ ##0_ ;\-#\ ##0\ </c:formatCode>
                <c:ptCount val="12"/>
                <c:pt idx="0">
                  <c:v>3687417</c:v>
                </c:pt>
                <c:pt idx="1">
                  <c:v>1875448.48</c:v>
                </c:pt>
                <c:pt idx="2">
                  <c:v>5404523.2699999996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3331865.59</c:v>
                </c:pt>
                <c:pt idx="7">
                  <c:v>0</c:v>
                </c:pt>
                <c:pt idx="8">
                  <c:v>6434703.5899999999</c:v>
                </c:pt>
                <c:pt idx="9">
                  <c:v>4018658.65</c:v>
                </c:pt>
                <c:pt idx="10">
                  <c:v>2712065.1</c:v>
                </c:pt>
                <c:pt idx="11">
                  <c:v>13961314.539999999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5-45E7-8B38-3C3F5B54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45312"/>
        <c:axId val="231001472"/>
      </c:lineChart>
      <c:catAx>
        <c:axId val="23124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001472"/>
        <c:crosses val="autoZero"/>
        <c:auto val="1"/>
        <c:lblAlgn val="ctr"/>
        <c:lblOffset val="100"/>
        <c:noMultiLvlLbl val="0"/>
      </c:catAx>
      <c:valAx>
        <c:axId val="23100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24531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2018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(měs)'!$A$28:$A$39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(měs)'!$H$28:$H$39</c:f>
              <c:numCache>
                <c:formatCode>#\ ##0_ ;\-#\ ##0\ </c:formatCode>
                <c:ptCount val="12"/>
                <c:pt idx="0">
                  <c:v>516351749.89999998</c:v>
                </c:pt>
                <c:pt idx="1">
                  <c:v>597755223.25</c:v>
                </c:pt>
                <c:pt idx="2">
                  <c:v>615000647.22000003</c:v>
                </c:pt>
                <c:pt idx="3">
                  <c:v>430766113.04999995</c:v>
                </c:pt>
                <c:pt idx="4">
                  <c:v>516042939.02999997</c:v>
                </c:pt>
                <c:pt idx="5">
                  <c:v>739683228.28999996</c:v>
                </c:pt>
                <c:pt idx="6">
                  <c:v>772688498.62</c:v>
                </c:pt>
                <c:pt idx="7">
                  <c:v>582582858.58000004</c:v>
                </c:pt>
                <c:pt idx="8">
                  <c:v>507514192.58999997</c:v>
                </c:pt>
                <c:pt idx="9">
                  <c:v>607949127.29999995</c:v>
                </c:pt>
                <c:pt idx="10">
                  <c:v>595366545.95000005</c:v>
                </c:pt>
                <c:pt idx="11">
                  <c:v>778208049.40999997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E-42B2-8157-AE305F9F7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46336"/>
        <c:axId val="231003200"/>
      </c:lineChart>
      <c:catAx>
        <c:axId val="231246336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003200"/>
        <c:crosses val="autoZero"/>
        <c:auto val="1"/>
        <c:lblAlgn val="ctr"/>
        <c:lblOffset val="100"/>
        <c:noMultiLvlLbl val="0"/>
      </c:catAx>
      <c:valAx>
        <c:axId val="23100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246336"/>
        <c:crosses val="autoZero"/>
        <c:crossBetween val="between"/>
        <c:majorUnit val="110000000.00000001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(kum)'!$B$28:$B$39</c:f>
              <c:numCache>
                <c:formatCode>#\ ##0_ ;\-#\ ##0\ </c:formatCode>
                <c:ptCount val="12"/>
                <c:pt idx="0">
                  <c:v>42049856.450000003</c:v>
                </c:pt>
                <c:pt idx="1">
                  <c:v>50467042.850000001</c:v>
                </c:pt>
                <c:pt idx="2">
                  <c:v>326305166.36000001</c:v>
                </c:pt>
                <c:pt idx="3">
                  <c:v>415939723.55000001</c:v>
                </c:pt>
                <c:pt idx="4">
                  <c:v>416670727.47000003</c:v>
                </c:pt>
                <c:pt idx="5">
                  <c:v>712255694.34000003</c:v>
                </c:pt>
                <c:pt idx="6">
                  <c:v>1005201362.38</c:v>
                </c:pt>
                <c:pt idx="7">
                  <c:v>1005201362.38</c:v>
                </c:pt>
                <c:pt idx="8">
                  <c:v>1123776496.8599999</c:v>
                </c:pt>
                <c:pt idx="9">
                  <c:v>1268388030.3399999</c:v>
                </c:pt>
                <c:pt idx="10">
                  <c:v>1279334647.5899999</c:v>
                </c:pt>
                <c:pt idx="11">
                  <c:v>1501605470.3099999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8-4D0F-AE74-D5E53570A8C1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(kum)'!$C$28:$C$39</c:f>
              <c:numCache>
                <c:formatCode>#\ ##0_ ;\-#\ ##0\ </c:formatCode>
                <c:ptCount val="12"/>
                <c:pt idx="0">
                  <c:v>134936166.66666666</c:v>
                </c:pt>
                <c:pt idx="1">
                  <c:v>269872333.33333331</c:v>
                </c:pt>
                <c:pt idx="2">
                  <c:v>404808500</c:v>
                </c:pt>
                <c:pt idx="3">
                  <c:v>539744666.66666663</c:v>
                </c:pt>
                <c:pt idx="4">
                  <c:v>674680833.33333325</c:v>
                </c:pt>
                <c:pt idx="5">
                  <c:v>809617000</c:v>
                </c:pt>
                <c:pt idx="6">
                  <c:v>944553166.66666663</c:v>
                </c:pt>
                <c:pt idx="7">
                  <c:v>1079489333.3333333</c:v>
                </c:pt>
                <c:pt idx="8">
                  <c:v>1214425500</c:v>
                </c:pt>
                <c:pt idx="9">
                  <c:v>1349361666.6666665</c:v>
                </c:pt>
                <c:pt idx="10">
                  <c:v>1484297833.3333333</c:v>
                </c:pt>
                <c:pt idx="11">
                  <c:v>1619234000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8-4D0F-AE74-D5E53570A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400448"/>
        <c:axId val="231004928"/>
      </c:lineChart>
      <c:catAx>
        <c:axId val="23140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004928"/>
        <c:crosses val="autoZero"/>
        <c:auto val="1"/>
        <c:lblAlgn val="ctr"/>
        <c:lblOffset val="100"/>
        <c:noMultiLvlLbl val="0"/>
      </c:catAx>
      <c:valAx>
        <c:axId val="23100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400448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fyzických osob placená plátci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(kum)'!$B$8:$B$19</c:f>
              <c:numCache>
                <c:formatCode>#\ ##0_ ;\-#\ ##0\ </c:formatCode>
                <c:ptCount val="12"/>
                <c:pt idx="0">
                  <c:v>151081324.05000001</c:v>
                </c:pt>
                <c:pt idx="1">
                  <c:v>299014602.12</c:v>
                </c:pt>
                <c:pt idx="2">
                  <c:v>421419554.81</c:v>
                </c:pt>
                <c:pt idx="3">
                  <c:v>524607661.36000001</c:v>
                </c:pt>
                <c:pt idx="4">
                  <c:v>661180168.82000005</c:v>
                </c:pt>
                <c:pt idx="5">
                  <c:v>818926044.75</c:v>
                </c:pt>
                <c:pt idx="6">
                  <c:v>965191879.68000007</c:v>
                </c:pt>
                <c:pt idx="7">
                  <c:v>1126213698.5800002</c:v>
                </c:pt>
                <c:pt idx="8">
                  <c:v>1261707030.1600001</c:v>
                </c:pt>
                <c:pt idx="9">
                  <c:v>1408698158.51</c:v>
                </c:pt>
                <c:pt idx="10">
                  <c:v>1561794975.23</c:v>
                </c:pt>
                <c:pt idx="11">
                  <c:v>1735964676.6199999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6-4F38-A41E-A0F50FA6D41D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(kum)'!$C$8:$C$19</c:f>
              <c:numCache>
                <c:formatCode>#\ ##0_ ;\-#\ ##0\ </c:formatCode>
                <c:ptCount val="12"/>
                <c:pt idx="0">
                  <c:v>137465583.33333334</c:v>
                </c:pt>
                <c:pt idx="1">
                  <c:v>274931166.66666669</c:v>
                </c:pt>
                <c:pt idx="2">
                  <c:v>412396750</c:v>
                </c:pt>
                <c:pt idx="3">
                  <c:v>549862333.33333337</c:v>
                </c:pt>
                <c:pt idx="4">
                  <c:v>687327916.66666675</c:v>
                </c:pt>
                <c:pt idx="5">
                  <c:v>824793500</c:v>
                </c:pt>
                <c:pt idx="6">
                  <c:v>962259083.33333337</c:v>
                </c:pt>
                <c:pt idx="7">
                  <c:v>1099724666.6666667</c:v>
                </c:pt>
                <c:pt idx="8">
                  <c:v>1237190250</c:v>
                </c:pt>
                <c:pt idx="9">
                  <c:v>1374655833.3333335</c:v>
                </c:pt>
                <c:pt idx="10">
                  <c:v>1512121416.6666667</c:v>
                </c:pt>
                <c:pt idx="11">
                  <c:v>1649587000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6-4F38-A41E-A0F50FA6D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752256"/>
        <c:axId val="230629952"/>
      </c:lineChart>
      <c:catAx>
        <c:axId val="2307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629952"/>
        <c:crosses val="autoZero"/>
        <c:auto val="1"/>
        <c:lblAlgn val="ctr"/>
        <c:lblOffset val="100"/>
        <c:noMultiLvlLbl val="0"/>
      </c:catAx>
      <c:valAx>
        <c:axId val="230629952"/>
        <c:scaling>
          <c:orientation val="minMax"/>
          <c:max val="18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752256"/>
        <c:crosses val="autoZero"/>
        <c:crossBetween val="between"/>
        <c:majorUnit val="2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(kum)'!$E$28:$E$39</c:f>
              <c:numCache>
                <c:formatCode>#\ ##0_ ;\-#\ ##0\ </c:formatCode>
                <c:ptCount val="12"/>
                <c:pt idx="0">
                  <c:v>298788186.83999997</c:v>
                </c:pt>
                <c:pt idx="1">
                  <c:v>712865674.15999997</c:v>
                </c:pt>
                <c:pt idx="2">
                  <c:v>907245420.13</c:v>
                </c:pt>
                <c:pt idx="3">
                  <c:v>1127902605.9100001</c:v>
                </c:pt>
                <c:pt idx="4">
                  <c:v>1485180963.97</c:v>
                </c:pt>
                <c:pt idx="5">
                  <c:v>1746555984</c:v>
                </c:pt>
                <c:pt idx="6">
                  <c:v>2049164161.75</c:v>
                </c:pt>
                <c:pt idx="7">
                  <c:v>2441647056.0999999</c:v>
                </c:pt>
                <c:pt idx="8">
                  <c:v>2663951243.21</c:v>
                </c:pt>
                <c:pt idx="9">
                  <c:v>2950289124.52</c:v>
                </c:pt>
                <c:pt idx="10">
                  <c:v>3354886548.5599999</c:v>
                </c:pt>
                <c:pt idx="11">
                  <c:v>3698685906.6599998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1-4C72-8332-BD4B7D3C5EB4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(kum)'!$F$28:$F$39</c:f>
              <c:numCache>
                <c:formatCode>#\ ##0_ ;\-#\ ##0\ </c:formatCode>
                <c:ptCount val="12"/>
                <c:pt idx="0">
                  <c:v>307690750</c:v>
                </c:pt>
                <c:pt idx="1">
                  <c:v>615381500</c:v>
                </c:pt>
                <c:pt idx="2">
                  <c:v>923072250</c:v>
                </c:pt>
                <c:pt idx="3">
                  <c:v>1230763000</c:v>
                </c:pt>
                <c:pt idx="4">
                  <c:v>1538453750</c:v>
                </c:pt>
                <c:pt idx="5">
                  <c:v>1846144500</c:v>
                </c:pt>
                <c:pt idx="6">
                  <c:v>2153835250</c:v>
                </c:pt>
                <c:pt idx="7">
                  <c:v>2461526000</c:v>
                </c:pt>
                <c:pt idx="8">
                  <c:v>2769216750</c:v>
                </c:pt>
                <c:pt idx="9">
                  <c:v>3076907500</c:v>
                </c:pt>
                <c:pt idx="10">
                  <c:v>3384598250</c:v>
                </c:pt>
                <c:pt idx="11">
                  <c:v>3692289000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1-4C72-8332-BD4B7D3C5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753280"/>
        <c:axId val="230631680"/>
      </c:lineChart>
      <c:catAx>
        <c:axId val="23075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631680"/>
        <c:crosses val="autoZero"/>
        <c:auto val="1"/>
        <c:lblAlgn val="ctr"/>
        <c:lblOffset val="100"/>
        <c:noMultiLvlLbl val="0"/>
      </c:catAx>
      <c:valAx>
        <c:axId val="23063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753280"/>
        <c:crosses val="autoZero"/>
        <c:crossBetween val="between"/>
        <c:majorUnit val="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 </a:t>
            </a:r>
            <a:r>
              <a:rPr lang="cs-CZ" sz="14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(kum)'!$E$8:$E$19</c:f>
              <c:numCache>
                <c:formatCode>#\ ##0_ ;\-#\ ##0\ </c:formatCode>
                <c:ptCount val="12"/>
                <c:pt idx="0">
                  <c:v>10349353.879999999</c:v>
                </c:pt>
                <c:pt idx="1">
                  <c:v>20519712.16</c:v>
                </c:pt>
                <c:pt idx="2">
                  <c:v>28935007.5</c:v>
                </c:pt>
                <c:pt idx="3">
                  <c:v>36029151.759999998</c:v>
                </c:pt>
                <c:pt idx="4">
                  <c:v>45418461.229999997</c:v>
                </c:pt>
                <c:pt idx="5">
                  <c:v>56263431.989999995</c:v>
                </c:pt>
                <c:pt idx="6">
                  <c:v>66319154.169999994</c:v>
                </c:pt>
                <c:pt idx="7">
                  <c:v>77389344.799999997</c:v>
                </c:pt>
                <c:pt idx="8">
                  <c:v>86226740.25</c:v>
                </c:pt>
                <c:pt idx="9">
                  <c:v>96273896.840000004</c:v>
                </c:pt>
                <c:pt idx="10">
                  <c:v>106738390.25</c:v>
                </c:pt>
                <c:pt idx="11">
                  <c:v>118643260.23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2-41B9-897E-E098519AD1C1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(kum)'!$F$8:$F$19</c:f>
              <c:numCache>
                <c:formatCode>#\ ##0_ ;\-#\ ##0\ </c:formatCode>
                <c:ptCount val="12"/>
                <c:pt idx="0">
                  <c:v>9359083.333333334</c:v>
                </c:pt>
                <c:pt idx="1">
                  <c:v>18718166.666666668</c:v>
                </c:pt>
                <c:pt idx="2">
                  <c:v>28077250</c:v>
                </c:pt>
                <c:pt idx="3">
                  <c:v>37436333.333333336</c:v>
                </c:pt>
                <c:pt idx="4">
                  <c:v>46795416.666666672</c:v>
                </c:pt>
                <c:pt idx="5">
                  <c:v>56154500</c:v>
                </c:pt>
                <c:pt idx="6">
                  <c:v>65513583.333333336</c:v>
                </c:pt>
                <c:pt idx="7">
                  <c:v>74872666.666666672</c:v>
                </c:pt>
                <c:pt idx="8">
                  <c:v>84231750</c:v>
                </c:pt>
                <c:pt idx="9">
                  <c:v>93590833.333333343</c:v>
                </c:pt>
                <c:pt idx="10">
                  <c:v>102949916.66666667</c:v>
                </c:pt>
                <c:pt idx="11">
                  <c:v>112309000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2-41B9-897E-E098519AD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753792"/>
        <c:axId val="230633408"/>
      </c:lineChart>
      <c:catAx>
        <c:axId val="23075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633408"/>
        <c:crosses val="autoZero"/>
        <c:auto val="1"/>
        <c:lblAlgn val="ctr"/>
        <c:lblOffset val="100"/>
        <c:noMultiLvlLbl val="0"/>
      </c:catAx>
      <c:valAx>
        <c:axId val="23063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75379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2200" b="1" i="0" baseline="0">
                <a:solidFill>
                  <a:sysClr val="windowText" lastClr="000000"/>
                </a:solidFill>
                <a:effectLst/>
                <a:latin typeface="+mj-lt"/>
              </a:rPr>
              <a:t>Vývoj výnosů SMO ze sdílených daní</a:t>
            </a:r>
            <a:endParaRPr lang="cs-CZ" sz="2200" b="1">
              <a:solidFill>
                <a:sysClr val="windowText" lastClr="000000"/>
              </a:solidFill>
              <a:effectLst/>
              <a:latin typeface="+mj-lt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cs-CZ" sz="1200" b="1" i="0" baseline="0">
                <a:solidFill>
                  <a:sysClr val="windowText" lastClr="000000"/>
                </a:solidFill>
                <a:effectLst/>
                <a:latin typeface="+mj-lt"/>
              </a:rPr>
              <a:t>(včetně meziročních změn v %)</a:t>
            </a:r>
            <a:endParaRPr lang="cs-CZ" sz="1200">
              <a:solidFill>
                <a:sysClr val="windowText" lastClr="000000"/>
              </a:solidFill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'Vývoj2015-24'!$A$14:$A$15</c:f>
              <c:strCache>
                <c:ptCount val="1"/>
                <c:pt idx="0">
                  <c:v>Sdílené daně města celkem</c:v>
                </c:pt>
              </c:strCache>
            </c:strRef>
          </c:tx>
          <c:spPr>
            <a:pattFill prst="pct90">
              <a:fgClr>
                <a:srgbClr val="003C69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003C69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23-4808-B3A0-722F1B6E420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A2BA509-75F0-48F9-9E33-B8EDC6EA0CC4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623-4808-B3A0-722F1B6E420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4AB7D3A-D293-423A-949D-35D6A6F674D5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623-4808-B3A0-722F1B6E420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35718A2-2764-4E80-8439-11086D6D847C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623-4808-B3A0-722F1B6E420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0B21409-EBA8-49D7-AF44-BBDD75CD60EE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623-4808-B3A0-722F1B6E420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2B7754F-657B-4A00-96C5-443F2AD6FE35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623-4808-B3A0-722F1B6E4204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EA4397-4A35-4A8F-A640-0143BD7034F0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623-4808-B3A0-722F1B6E420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6C1AFD0-7E4A-4CFF-A29E-F0FC516D66EA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623-4808-B3A0-722F1B6E420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5D744D8-A2D7-4A3C-A168-7A160CA1D9E8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623-4808-B3A0-722F1B6E420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2464D5A-4D17-450E-AA1E-766CC09E1790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D623-4808-B3A0-722F1B6E4204}"/>
                </c:ext>
              </c:extLst>
            </c:dLbl>
            <c:dLbl>
              <c:idx val="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0D97AF9-F5DE-485D-8CD2-143C0C8F40C5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623-4808-B3A0-722F1B6E42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'Vývoj2015-24'!$R$3:$AA$3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'Vývoj2015-24'!$R$14:$AA$14</c:f>
              <c:numCache>
                <c:formatCode>#,##0</c:formatCode>
                <c:ptCount val="10"/>
                <c:pt idx="0">
                  <c:v>5558720394.0100002</c:v>
                </c:pt>
                <c:pt idx="1">
                  <c:v>6031790868.29</c:v>
                </c:pt>
                <c:pt idx="2">
                  <c:v>6603908970.8600006</c:v>
                </c:pt>
                <c:pt idx="3">
                  <c:v>7259909173.1899996</c:v>
                </c:pt>
                <c:pt idx="4">
                  <c:v>7846036640.2800007</c:v>
                </c:pt>
                <c:pt idx="5">
                  <c:v>7295949432.6299992</c:v>
                </c:pt>
                <c:pt idx="6">
                  <c:v>8071844116.8699989</c:v>
                </c:pt>
                <c:pt idx="7">
                  <c:v>9293175115</c:v>
                </c:pt>
                <c:pt idx="8">
                  <c:v>10576396041.130001</c:v>
                </c:pt>
                <c:pt idx="9">
                  <c:v>10383194147.700001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'Vývoj2015-24'!$R$15:$AA$15</c15:f>
                <c15:dlblRangeCache>
                  <c:ptCount val="10"/>
                  <c:pt idx="0">
                    <c:v>2,29 %</c:v>
                  </c:pt>
                  <c:pt idx="1">
                    <c:v>8,51 %</c:v>
                  </c:pt>
                  <c:pt idx="2">
                    <c:v>9,49 %</c:v>
                  </c:pt>
                  <c:pt idx="3">
                    <c:v>9,93 %</c:v>
                  </c:pt>
                  <c:pt idx="4">
                    <c:v>8,07 %</c:v>
                  </c:pt>
                  <c:pt idx="5">
                    <c:v>-7,01 %</c:v>
                  </c:pt>
                  <c:pt idx="6">
                    <c:v>10,63 %</c:v>
                  </c:pt>
                  <c:pt idx="7">
                    <c:v>15,13 %</c:v>
                  </c:pt>
                  <c:pt idx="8">
                    <c:v>13,81 %</c:v>
                  </c:pt>
                  <c:pt idx="9">
                    <c:v>-1,83 %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D623-4808-B3A0-722F1B6E4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20787200"/>
        <c:axId val="215797696"/>
      </c:barChart>
      <c:catAx>
        <c:axId val="22078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5797696"/>
        <c:crosses val="autoZero"/>
        <c:auto val="1"/>
        <c:lblAlgn val="ctr"/>
        <c:lblOffset val="100"/>
        <c:noMultiLvlLbl val="0"/>
      </c:catAx>
      <c:valAx>
        <c:axId val="215797696"/>
        <c:scaling>
          <c:orientation val="minMax"/>
          <c:max val="12000000000"/>
          <c:min val="30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787200"/>
        <c:crosses val="autoZero"/>
        <c:crossBetween val="between"/>
        <c:majorUnit val="10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userShapes r:id="rId3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(kum)'!$K$8:$K$19</c:f>
              <c:numCache>
                <c:formatCode>#\ ##0_ ;\-#\ ##0\ </c:formatCode>
                <c:ptCount val="12"/>
                <c:pt idx="0">
                  <c:v>10395611.68</c:v>
                </c:pt>
                <c:pt idx="1">
                  <c:v>25677076.379999999</c:v>
                </c:pt>
                <c:pt idx="2">
                  <c:v>34235082.82</c:v>
                </c:pt>
                <c:pt idx="3">
                  <c:v>44427202.090000004</c:v>
                </c:pt>
                <c:pt idx="4">
                  <c:v>56498962.210000008</c:v>
                </c:pt>
                <c:pt idx="5">
                  <c:v>70631356.910000011</c:v>
                </c:pt>
                <c:pt idx="6">
                  <c:v>88112587.040000007</c:v>
                </c:pt>
                <c:pt idx="7">
                  <c:v>106120541.74000001</c:v>
                </c:pt>
                <c:pt idx="8">
                  <c:v>121989982.12</c:v>
                </c:pt>
                <c:pt idx="9">
                  <c:v>137932751.03999999</c:v>
                </c:pt>
                <c:pt idx="10">
                  <c:v>151481880.47</c:v>
                </c:pt>
                <c:pt idx="11">
                  <c:v>163583863.15000001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A-4101-AA79-E065AC2B0F66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(kum)'!$L$8:$L$19</c:f>
              <c:numCache>
                <c:formatCode>#\ ##0_ ;\-#\ ##0\ </c:formatCode>
                <c:ptCount val="12"/>
                <c:pt idx="0">
                  <c:v>12347750</c:v>
                </c:pt>
                <c:pt idx="1">
                  <c:v>24695500</c:v>
                </c:pt>
                <c:pt idx="2">
                  <c:v>37043250</c:v>
                </c:pt>
                <c:pt idx="3">
                  <c:v>49391000</c:v>
                </c:pt>
                <c:pt idx="4">
                  <c:v>61738750</c:v>
                </c:pt>
                <c:pt idx="5">
                  <c:v>74086500</c:v>
                </c:pt>
                <c:pt idx="6">
                  <c:v>86434250</c:v>
                </c:pt>
                <c:pt idx="7">
                  <c:v>98782000</c:v>
                </c:pt>
                <c:pt idx="8">
                  <c:v>111129750</c:v>
                </c:pt>
                <c:pt idx="9">
                  <c:v>123477500</c:v>
                </c:pt>
                <c:pt idx="10">
                  <c:v>135825250</c:v>
                </c:pt>
                <c:pt idx="11">
                  <c:v>148173000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A-4101-AA79-E065AC2B0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754816"/>
        <c:axId val="230635136"/>
      </c:lineChart>
      <c:catAx>
        <c:axId val="23075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635136"/>
        <c:crosses val="autoZero"/>
        <c:auto val="1"/>
        <c:lblAlgn val="ctr"/>
        <c:lblOffset val="100"/>
        <c:noMultiLvlLbl val="0"/>
      </c:catAx>
      <c:valAx>
        <c:axId val="23063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754816"/>
        <c:crosses val="autoZero"/>
        <c:crossBetween val="between"/>
        <c:majorUnit val="2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(kum)'!$H$8:$H$19</c:f>
              <c:numCache>
                <c:formatCode>#\ ##0_ ;\-#\ ##0\ </c:formatCode>
                <c:ptCount val="12"/>
                <c:pt idx="0">
                  <c:v>3687417</c:v>
                </c:pt>
                <c:pt idx="1">
                  <c:v>5562865.4800000004</c:v>
                </c:pt>
                <c:pt idx="2">
                  <c:v>10967388.75</c:v>
                </c:pt>
                <c:pt idx="3">
                  <c:v>10967388.75</c:v>
                </c:pt>
                <c:pt idx="4">
                  <c:v>10967388.75</c:v>
                </c:pt>
                <c:pt idx="5">
                  <c:v>10967388.75</c:v>
                </c:pt>
                <c:pt idx="6">
                  <c:v>14299254.34</c:v>
                </c:pt>
                <c:pt idx="7">
                  <c:v>14299254.34</c:v>
                </c:pt>
                <c:pt idx="8">
                  <c:v>20733957.93</c:v>
                </c:pt>
                <c:pt idx="9">
                  <c:v>24752616.579999998</c:v>
                </c:pt>
                <c:pt idx="10">
                  <c:v>27464681.68</c:v>
                </c:pt>
                <c:pt idx="11">
                  <c:v>41425996.219999999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6-404D-97FD-D2EB91E5E268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(kum)'!$I$8:$I$19</c:f>
              <c:numCache>
                <c:formatCode>#\ ##0_ ;\-#\ ##0\ </c:formatCode>
                <c:ptCount val="12"/>
                <c:pt idx="0">
                  <c:v>4888166.666666667</c:v>
                </c:pt>
                <c:pt idx="1">
                  <c:v>9776333.333333334</c:v>
                </c:pt>
                <c:pt idx="2">
                  <c:v>14664500</c:v>
                </c:pt>
                <c:pt idx="3">
                  <c:v>19552666.666666668</c:v>
                </c:pt>
                <c:pt idx="4">
                  <c:v>24440833.333333336</c:v>
                </c:pt>
                <c:pt idx="5">
                  <c:v>29329000</c:v>
                </c:pt>
                <c:pt idx="6">
                  <c:v>34217166.666666672</c:v>
                </c:pt>
                <c:pt idx="7">
                  <c:v>39105333.333333336</c:v>
                </c:pt>
                <c:pt idx="8">
                  <c:v>43993500</c:v>
                </c:pt>
                <c:pt idx="9">
                  <c:v>48881666.666666672</c:v>
                </c:pt>
                <c:pt idx="10">
                  <c:v>53769833.333333336</c:v>
                </c:pt>
                <c:pt idx="11">
                  <c:v>58658000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6-404D-97FD-D2EB91E5E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755840"/>
        <c:axId val="230636864"/>
      </c:lineChart>
      <c:catAx>
        <c:axId val="2307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636864"/>
        <c:crosses val="autoZero"/>
        <c:auto val="1"/>
        <c:lblAlgn val="ctr"/>
        <c:lblOffset val="100"/>
        <c:noMultiLvlLbl val="0"/>
      </c:catAx>
      <c:valAx>
        <c:axId val="23063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7558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2018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(kum)'!$H$28:$H$39</c:f>
              <c:numCache>
                <c:formatCode>#\ ##0_ ;\-#\ ##0\ </c:formatCode>
                <c:ptCount val="12"/>
                <c:pt idx="0">
                  <c:v>516351749.89999998</c:v>
                </c:pt>
                <c:pt idx="1">
                  <c:v>1114106973.1500001</c:v>
                </c:pt>
                <c:pt idx="2">
                  <c:v>1729107620.3699999</c:v>
                </c:pt>
                <c:pt idx="3">
                  <c:v>2159873733.4200001</c:v>
                </c:pt>
                <c:pt idx="4">
                  <c:v>2675916672.4499998</c:v>
                </c:pt>
                <c:pt idx="5">
                  <c:v>3415599900.7399998</c:v>
                </c:pt>
                <c:pt idx="6">
                  <c:v>4188288399.3600001</c:v>
                </c:pt>
                <c:pt idx="7">
                  <c:v>4770871257.9400005</c:v>
                </c:pt>
                <c:pt idx="8">
                  <c:v>5278385450.5299997</c:v>
                </c:pt>
                <c:pt idx="9">
                  <c:v>5886334577.8299999</c:v>
                </c:pt>
                <c:pt idx="10">
                  <c:v>6481701123.7800007</c:v>
                </c:pt>
                <c:pt idx="11">
                  <c:v>7259909173.1899996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A-4C25-8488-7491B9BB28D2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(kum)'!$I$28:$I$39</c:f>
              <c:numCache>
                <c:formatCode>#\ ##0_ ;\-#\ ##0\ </c:formatCode>
                <c:ptCount val="12"/>
                <c:pt idx="0">
                  <c:v>606687500</c:v>
                </c:pt>
                <c:pt idx="1">
                  <c:v>1213375000</c:v>
                </c:pt>
                <c:pt idx="2">
                  <c:v>1820062500</c:v>
                </c:pt>
                <c:pt idx="3">
                  <c:v>2426750000</c:v>
                </c:pt>
                <c:pt idx="4">
                  <c:v>3033437500</c:v>
                </c:pt>
                <c:pt idx="5">
                  <c:v>3640125000</c:v>
                </c:pt>
                <c:pt idx="6">
                  <c:v>4246812500</c:v>
                </c:pt>
                <c:pt idx="7">
                  <c:v>4853500000</c:v>
                </c:pt>
                <c:pt idx="8">
                  <c:v>5460187500</c:v>
                </c:pt>
                <c:pt idx="9">
                  <c:v>6066875000</c:v>
                </c:pt>
                <c:pt idx="10">
                  <c:v>6673562500</c:v>
                </c:pt>
                <c:pt idx="11">
                  <c:v>7280250000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A-4C25-8488-7491B9BB2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11648"/>
        <c:axId val="232318080"/>
      </c:lineChart>
      <c:catAx>
        <c:axId val="23241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318080"/>
        <c:crosses val="autoZero"/>
        <c:auto val="1"/>
        <c:lblAlgn val="ctr"/>
        <c:lblOffset val="100"/>
        <c:noMultiLvlLbl val="0"/>
      </c:catAx>
      <c:valAx>
        <c:axId val="23231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411648"/>
        <c:crosses val="autoZero"/>
        <c:crossBetween val="between"/>
        <c:majorUnit val="11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(měs)'!$B$28:$B$39</c:f>
              <c:numCache>
                <c:formatCode>#\ ##0_ ;\-#\ ##0\ </c:formatCode>
                <c:ptCount val="12"/>
                <c:pt idx="0">
                  <c:v>106863469.45</c:v>
                </c:pt>
                <c:pt idx="1">
                  <c:v>10119942.49</c:v>
                </c:pt>
                <c:pt idx="2">
                  <c:v>288451976.89000005</c:v>
                </c:pt>
                <c:pt idx="3">
                  <c:v>94060417.739999995</c:v>
                </c:pt>
                <c:pt idx="4">
                  <c:v>6764056.2300000004</c:v>
                </c:pt>
                <c:pt idx="5">
                  <c:v>243399573.40000001</c:v>
                </c:pt>
                <c:pt idx="6">
                  <c:v>357348357.19</c:v>
                </c:pt>
                <c:pt idx="7">
                  <c:v>0</c:v>
                </c:pt>
                <c:pt idx="8">
                  <c:v>157121127.28</c:v>
                </c:pt>
                <c:pt idx="9">
                  <c:v>145196803.95999998</c:v>
                </c:pt>
                <c:pt idx="10">
                  <c:v>6018590.8799999999</c:v>
                </c:pt>
                <c:pt idx="11">
                  <c:v>289657435.38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A-4978-ABB7-306ADD173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02240"/>
        <c:axId val="232319808"/>
      </c:lineChart>
      <c:catAx>
        <c:axId val="23220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319808"/>
        <c:crosses val="autoZero"/>
        <c:auto val="1"/>
        <c:lblAlgn val="ctr"/>
        <c:lblOffset val="100"/>
        <c:noMultiLvlLbl val="0"/>
      </c:catAx>
      <c:valAx>
        <c:axId val="232319808"/>
        <c:scaling>
          <c:orientation val="minMax"/>
          <c:max val="4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202240"/>
        <c:crosses val="autoZero"/>
        <c:crossBetween val="between"/>
        <c:majorUnit val="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(měs)'!$E$28:$E$39</c:f>
              <c:numCache>
                <c:formatCode>#\ ##0_ ;\-#\ ##0\ </c:formatCode>
                <c:ptCount val="12"/>
                <c:pt idx="0">
                  <c:v>333202310.63999999</c:v>
                </c:pt>
                <c:pt idx="1">
                  <c:v>393778986.61000001</c:v>
                </c:pt>
                <c:pt idx="2">
                  <c:v>181375220.12</c:v>
                </c:pt>
                <c:pt idx="3">
                  <c:v>240426184.47</c:v>
                </c:pt>
                <c:pt idx="4">
                  <c:v>391408753.73000002</c:v>
                </c:pt>
                <c:pt idx="5">
                  <c:v>285714824.88</c:v>
                </c:pt>
                <c:pt idx="6">
                  <c:v>312578565.65000004</c:v>
                </c:pt>
                <c:pt idx="7">
                  <c:v>391164278.40999997</c:v>
                </c:pt>
                <c:pt idx="8">
                  <c:v>261499518.94999999</c:v>
                </c:pt>
                <c:pt idx="9">
                  <c:v>275772676.23000002</c:v>
                </c:pt>
                <c:pt idx="10">
                  <c:v>426276112.94</c:v>
                </c:pt>
                <c:pt idx="11">
                  <c:v>345381584.58999997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3-42C8-AA8D-30B08EE10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14208"/>
        <c:axId val="232321536"/>
      </c:lineChart>
      <c:catAx>
        <c:axId val="23241420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321536"/>
        <c:crosses val="autoZero"/>
        <c:auto val="1"/>
        <c:lblAlgn val="ctr"/>
        <c:lblOffset val="100"/>
        <c:noMultiLvlLbl val="0"/>
      </c:catAx>
      <c:valAx>
        <c:axId val="232321536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414208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(měs)'!$B$8:$B$19</c:f>
              <c:numCache>
                <c:formatCode>#\ ##0_ ;\-#\ ##0\ </c:formatCode>
                <c:ptCount val="12"/>
                <c:pt idx="0">
                  <c:v>172935264.22</c:v>
                </c:pt>
                <c:pt idx="1">
                  <c:v>162742178.75</c:v>
                </c:pt>
                <c:pt idx="2">
                  <c:v>137450893.87</c:v>
                </c:pt>
                <c:pt idx="3">
                  <c:v>125226722.01000001</c:v>
                </c:pt>
                <c:pt idx="4">
                  <c:v>153095265.41999999</c:v>
                </c:pt>
                <c:pt idx="5">
                  <c:v>169072269</c:v>
                </c:pt>
                <c:pt idx="6">
                  <c:v>174455225.23000002</c:v>
                </c:pt>
                <c:pt idx="7">
                  <c:v>171540245.94</c:v>
                </c:pt>
                <c:pt idx="8">
                  <c:v>140926367.56</c:v>
                </c:pt>
                <c:pt idx="9">
                  <c:v>164870870.55000001</c:v>
                </c:pt>
                <c:pt idx="10">
                  <c:v>168051440.00999999</c:v>
                </c:pt>
                <c:pt idx="11">
                  <c:v>192813282.94999999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F-4F43-95B2-00643F388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03776"/>
        <c:axId val="232323264"/>
      </c:lineChart>
      <c:catAx>
        <c:axId val="232203776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323264"/>
        <c:crosses val="autoZero"/>
        <c:auto val="1"/>
        <c:lblAlgn val="ctr"/>
        <c:lblOffset val="100"/>
        <c:noMultiLvlLbl val="0"/>
      </c:catAx>
      <c:valAx>
        <c:axId val="23232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203776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(měs)'!$E$8:$E$19</c:f>
              <c:numCache>
                <c:formatCode>#\ ##0_ ;\-#\ ##0\ </c:formatCode>
                <c:ptCount val="12"/>
                <c:pt idx="0">
                  <c:v>11820493.530000001</c:v>
                </c:pt>
                <c:pt idx="1">
                  <c:v>11123774.470000001</c:v>
                </c:pt>
                <c:pt idx="2">
                  <c:v>9395061.2599999998</c:v>
                </c:pt>
                <c:pt idx="3">
                  <c:v>8559513.0999999996</c:v>
                </c:pt>
                <c:pt idx="4">
                  <c:v>10464387.359999999</c:v>
                </c:pt>
                <c:pt idx="5">
                  <c:v>11556449.620000001</c:v>
                </c:pt>
                <c:pt idx="6">
                  <c:v>11924386.120000001</c:v>
                </c:pt>
                <c:pt idx="7">
                  <c:v>11725141.050000001</c:v>
                </c:pt>
                <c:pt idx="8">
                  <c:v>9503883.3100000005</c:v>
                </c:pt>
                <c:pt idx="9">
                  <c:v>11253386.559999999</c:v>
                </c:pt>
                <c:pt idx="10">
                  <c:v>11470478.73</c:v>
                </c:pt>
                <c:pt idx="11">
                  <c:v>13160617.18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6-40E4-A5E7-8238DD663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04800"/>
        <c:axId val="232652800"/>
      </c:lineChart>
      <c:catAx>
        <c:axId val="23220480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652800"/>
        <c:crosses val="autoZero"/>
        <c:auto val="1"/>
        <c:lblAlgn val="ctr"/>
        <c:lblOffset val="100"/>
        <c:noMultiLvlLbl val="0"/>
      </c:catAx>
      <c:valAx>
        <c:axId val="232652800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20480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(měs)'!$K$8:$K$19</c:f>
              <c:numCache>
                <c:formatCode>#\ ##0_ ;\-#\ ##0\ </c:formatCode>
                <c:ptCount val="12"/>
                <c:pt idx="0">
                  <c:v>13739311.300000001</c:v>
                </c:pt>
                <c:pt idx="1">
                  <c:v>15807596.77</c:v>
                </c:pt>
                <c:pt idx="2">
                  <c:v>9805916.5700000003</c:v>
                </c:pt>
                <c:pt idx="3">
                  <c:v>11536330.440000001</c:v>
                </c:pt>
                <c:pt idx="4">
                  <c:v>13350575.880000001</c:v>
                </c:pt>
                <c:pt idx="5">
                  <c:v>15776535.300000001</c:v>
                </c:pt>
                <c:pt idx="6">
                  <c:v>19939905.75</c:v>
                </c:pt>
                <c:pt idx="7">
                  <c:v>18563627.170000002</c:v>
                </c:pt>
                <c:pt idx="8">
                  <c:v>17924787.390000001</c:v>
                </c:pt>
                <c:pt idx="9">
                  <c:v>17460546.59</c:v>
                </c:pt>
                <c:pt idx="10">
                  <c:v>15138282.709999999</c:v>
                </c:pt>
                <c:pt idx="11">
                  <c:v>13998090.649999999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5-4B1F-947A-44DCB63EB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05824"/>
        <c:axId val="232654528"/>
      </c:lineChart>
      <c:catAx>
        <c:axId val="23220582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654528"/>
        <c:crosses val="autoZero"/>
        <c:auto val="1"/>
        <c:lblAlgn val="ctr"/>
        <c:lblOffset val="100"/>
        <c:noMultiLvlLbl val="0"/>
      </c:catAx>
      <c:valAx>
        <c:axId val="232654528"/>
        <c:scaling>
          <c:orientation val="minMax"/>
          <c:max val="21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205824"/>
        <c:crosses val="autoZero"/>
        <c:crossBetween val="between"/>
        <c:majorUnit val="3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(měs)'!$H$8:$H$19</c:f>
              <c:numCache>
                <c:formatCode>#\ ##0_ ;\-#\ ##0\ </c:formatCode>
                <c:ptCount val="12"/>
                <c:pt idx="0">
                  <c:v>4799314.12</c:v>
                </c:pt>
                <c:pt idx="1">
                  <c:v>2574252.66</c:v>
                </c:pt>
                <c:pt idx="2">
                  <c:v>5549093.5300000003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10901788.299999999</c:v>
                </c:pt>
                <c:pt idx="7">
                  <c:v>0</c:v>
                </c:pt>
                <c:pt idx="8">
                  <c:v>6822741.6900000004</c:v>
                </c:pt>
                <c:pt idx="9">
                  <c:v>4899392.57</c:v>
                </c:pt>
                <c:pt idx="10">
                  <c:v>2179052.2599999998</c:v>
                </c:pt>
                <c:pt idx="11">
                  <c:v>16551132.719999999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C-4111-BC8A-1ABA95B4D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35232"/>
        <c:axId val="232656256"/>
      </c:lineChart>
      <c:catAx>
        <c:axId val="23273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656256"/>
        <c:crosses val="autoZero"/>
        <c:auto val="1"/>
        <c:lblAlgn val="ctr"/>
        <c:lblOffset val="100"/>
        <c:noMultiLvlLbl val="0"/>
      </c:catAx>
      <c:valAx>
        <c:axId val="232656256"/>
        <c:scaling>
          <c:orientation val="minMax"/>
          <c:max val="17500000.00000000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735232"/>
        <c:crosses val="autoZero"/>
        <c:crossBetween val="between"/>
        <c:majorUnit val="25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201</a:t>
            </a:r>
            <a:r>
              <a:rPr lang="cs-CZ"/>
              <a:t>9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2018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(měs)'!$H$28:$H$39</c:f>
              <c:numCache>
                <c:formatCode>#\ ##0_ ;\-#\ ##0\ </c:formatCode>
                <c:ptCount val="12"/>
                <c:pt idx="0">
                  <c:v>643360163.25999999</c:v>
                </c:pt>
                <c:pt idx="1">
                  <c:v>596146731.75</c:v>
                </c:pt>
                <c:pt idx="2">
                  <c:v>632028162.24000001</c:v>
                </c:pt>
                <c:pt idx="3">
                  <c:v>479809167.75999999</c:v>
                </c:pt>
                <c:pt idx="4">
                  <c:v>575083038.62</c:v>
                </c:pt>
                <c:pt idx="5">
                  <c:v>725519652.20000005</c:v>
                </c:pt>
                <c:pt idx="6">
                  <c:v>887148228.24000001</c:v>
                </c:pt>
                <c:pt idx="7">
                  <c:v>592993292.56999993</c:v>
                </c:pt>
                <c:pt idx="8">
                  <c:v>593798426.18000007</c:v>
                </c:pt>
                <c:pt idx="9">
                  <c:v>619453676.46000004</c:v>
                </c:pt>
                <c:pt idx="10">
                  <c:v>629133957.52999997</c:v>
                </c:pt>
                <c:pt idx="11">
                  <c:v>871562143.47000003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1-453C-BDDD-56F4EEA5A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36256"/>
        <c:axId val="232657984"/>
      </c:lineChart>
      <c:catAx>
        <c:axId val="232736256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657984"/>
        <c:crosses val="autoZero"/>
        <c:auto val="1"/>
        <c:lblAlgn val="ctr"/>
        <c:lblOffset val="100"/>
        <c:noMultiLvlLbl val="0"/>
      </c:catAx>
      <c:valAx>
        <c:axId val="232657984"/>
        <c:scaling>
          <c:orientation val="minMax"/>
          <c:max val="10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736256"/>
        <c:crosses val="autoZero"/>
        <c:crossBetween val="between"/>
        <c:majorUnit val="1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07"/>
          <c:y val="0.21542712842712897"/>
          <c:w val="0.80000153186567835"/>
          <c:h val="0.6033932178932186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(měs)'!$E$28:$E$39</c:f>
              <c:numCache>
                <c:formatCode>#\ ##0_ ;\-#\ ##0\ </c:formatCode>
                <c:ptCount val="12"/>
                <c:pt idx="0">
                  <c:v>202023767</c:v>
                </c:pt>
                <c:pt idx="1">
                  <c:v>7578195</c:v>
                </c:pt>
                <c:pt idx="2">
                  <c:v>226146984</c:v>
                </c:pt>
                <c:pt idx="3">
                  <c:v>59643445</c:v>
                </c:pt>
                <c:pt idx="4">
                  <c:v>0</c:v>
                </c:pt>
                <c:pt idx="5">
                  <c:v>232695558</c:v>
                </c:pt>
                <c:pt idx="6">
                  <c:v>252597778</c:v>
                </c:pt>
                <c:pt idx="7">
                  <c:v>0</c:v>
                </c:pt>
                <c:pt idx="8">
                  <c:v>92887000</c:v>
                </c:pt>
                <c:pt idx="9">
                  <c:v>129734221</c:v>
                </c:pt>
                <c:pt idx="10">
                  <c:v>10989402</c:v>
                </c:pt>
                <c:pt idx="11">
                  <c:v>56764421.390000001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8-420A-97F6-9E76D858E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431296"/>
        <c:axId val="216161024"/>
      </c:lineChart>
      <c:catAx>
        <c:axId val="22143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16161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161024"/>
        <c:scaling>
          <c:orientation val="minMax"/>
          <c:max val="28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1431296"/>
        <c:crosses val="autoZero"/>
        <c:crossBetween val="between"/>
        <c:majorUnit val="40000000"/>
      </c:valAx>
    </c:plotArea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(kum)'!$B$28:$B$39</c:f>
              <c:numCache>
                <c:formatCode>#\ ##0_ ;\-#\ ##0\ </c:formatCode>
                <c:ptCount val="12"/>
                <c:pt idx="0">
                  <c:v>106863469.45</c:v>
                </c:pt>
                <c:pt idx="1">
                  <c:v>116983411.94</c:v>
                </c:pt>
                <c:pt idx="2">
                  <c:v>405435388.83000004</c:v>
                </c:pt>
                <c:pt idx="3">
                  <c:v>499495806.57000005</c:v>
                </c:pt>
                <c:pt idx="4">
                  <c:v>506259862.80000007</c:v>
                </c:pt>
                <c:pt idx="5">
                  <c:v>749659436.20000005</c:v>
                </c:pt>
                <c:pt idx="6">
                  <c:v>1107007793.3900001</c:v>
                </c:pt>
                <c:pt idx="7">
                  <c:v>1107007793.3900001</c:v>
                </c:pt>
                <c:pt idx="8">
                  <c:v>1264128920.6700001</c:v>
                </c:pt>
                <c:pt idx="9">
                  <c:v>1409325724.6300001</c:v>
                </c:pt>
                <c:pt idx="10">
                  <c:v>1415344315.5100002</c:v>
                </c:pt>
                <c:pt idx="11">
                  <c:v>1705001750.8900003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F-4A06-B181-533C6A5FEEAB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(kum)'!$C$28:$C$39</c:f>
              <c:numCache>
                <c:formatCode>#\ ##0_ ;\-#\ ##0\ </c:formatCode>
                <c:ptCount val="12"/>
                <c:pt idx="0">
                  <c:v>136062583.33333334</c:v>
                </c:pt>
                <c:pt idx="1">
                  <c:v>272125166.66666669</c:v>
                </c:pt>
                <c:pt idx="2">
                  <c:v>408187750</c:v>
                </c:pt>
                <c:pt idx="3">
                  <c:v>544250333.33333337</c:v>
                </c:pt>
                <c:pt idx="4">
                  <c:v>680312916.66666675</c:v>
                </c:pt>
                <c:pt idx="5">
                  <c:v>816375500</c:v>
                </c:pt>
                <c:pt idx="6">
                  <c:v>952438083.33333337</c:v>
                </c:pt>
                <c:pt idx="7">
                  <c:v>1088500666.6666667</c:v>
                </c:pt>
                <c:pt idx="8">
                  <c:v>1224563250</c:v>
                </c:pt>
                <c:pt idx="9">
                  <c:v>1360625833.3333335</c:v>
                </c:pt>
                <c:pt idx="10">
                  <c:v>1496688416.6666667</c:v>
                </c:pt>
                <c:pt idx="11">
                  <c:v>1632751000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F-4A06-B181-533C6A5FE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252352"/>
        <c:axId val="232659712"/>
      </c:lineChart>
      <c:catAx>
        <c:axId val="2332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659712"/>
        <c:crosses val="autoZero"/>
        <c:auto val="1"/>
        <c:lblAlgn val="ctr"/>
        <c:lblOffset val="100"/>
        <c:noMultiLvlLbl val="0"/>
      </c:catAx>
      <c:valAx>
        <c:axId val="232659712"/>
        <c:scaling>
          <c:orientation val="minMax"/>
          <c:max val="18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252352"/>
        <c:crosses val="autoZero"/>
        <c:crossBetween val="between"/>
        <c:majorUnit val="2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fyzických osob placená plátci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(kum)'!$B$8:$B$19</c:f>
              <c:numCache>
                <c:formatCode>#\ ##0_ ;\-#\ ##0\ </c:formatCode>
                <c:ptCount val="12"/>
                <c:pt idx="0">
                  <c:v>172935264.22</c:v>
                </c:pt>
                <c:pt idx="1">
                  <c:v>335677442.97000003</c:v>
                </c:pt>
                <c:pt idx="2">
                  <c:v>473128336.84000003</c:v>
                </c:pt>
                <c:pt idx="3">
                  <c:v>598355058.85000002</c:v>
                </c:pt>
                <c:pt idx="4">
                  <c:v>751450324.26999998</c:v>
                </c:pt>
                <c:pt idx="5">
                  <c:v>920522593.26999998</c:v>
                </c:pt>
                <c:pt idx="6">
                  <c:v>1094977818.5</c:v>
                </c:pt>
                <c:pt idx="7">
                  <c:v>1266518064.4400001</c:v>
                </c:pt>
                <c:pt idx="8">
                  <c:v>1407444432</c:v>
                </c:pt>
                <c:pt idx="9">
                  <c:v>1572315302.55</c:v>
                </c:pt>
                <c:pt idx="10">
                  <c:v>1740366742.5599999</c:v>
                </c:pt>
                <c:pt idx="11">
                  <c:v>1933180025.51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7-4223-A709-11E6847ADA14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(kum)'!$C$8:$C$19</c:f>
              <c:numCache>
                <c:formatCode>#\ ##0_ ;\-#\ ##0\ </c:formatCode>
                <c:ptCount val="12"/>
                <c:pt idx="0">
                  <c:v>157645583.33333334</c:v>
                </c:pt>
                <c:pt idx="1">
                  <c:v>315291166.66666669</c:v>
                </c:pt>
                <c:pt idx="2">
                  <c:v>472936750</c:v>
                </c:pt>
                <c:pt idx="3">
                  <c:v>630582333.33333337</c:v>
                </c:pt>
                <c:pt idx="4">
                  <c:v>788227916.66666675</c:v>
                </c:pt>
                <c:pt idx="5">
                  <c:v>945873500</c:v>
                </c:pt>
                <c:pt idx="6">
                  <c:v>1103519083.3333335</c:v>
                </c:pt>
                <c:pt idx="7">
                  <c:v>1261164666.6666667</c:v>
                </c:pt>
                <c:pt idx="8">
                  <c:v>1418810250</c:v>
                </c:pt>
                <c:pt idx="9">
                  <c:v>1576455833.3333335</c:v>
                </c:pt>
                <c:pt idx="10">
                  <c:v>1734101416.6666667</c:v>
                </c:pt>
                <c:pt idx="11">
                  <c:v>1891747000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7-4223-A709-11E6847AD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57312"/>
        <c:axId val="233472576"/>
      </c:lineChart>
      <c:catAx>
        <c:axId val="23335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72576"/>
        <c:crosses val="autoZero"/>
        <c:auto val="1"/>
        <c:lblAlgn val="ctr"/>
        <c:lblOffset val="100"/>
        <c:noMultiLvlLbl val="0"/>
      </c:catAx>
      <c:valAx>
        <c:axId val="233472576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357312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(kum)'!$E$28:$E$39</c:f>
              <c:numCache>
                <c:formatCode>#\ ##0_ ;\-#\ ##0\ </c:formatCode>
                <c:ptCount val="12"/>
                <c:pt idx="0">
                  <c:v>333202310.63999999</c:v>
                </c:pt>
                <c:pt idx="1">
                  <c:v>726981297.25</c:v>
                </c:pt>
                <c:pt idx="2">
                  <c:v>908356517.37</c:v>
                </c:pt>
                <c:pt idx="3">
                  <c:v>1148782701.8399999</c:v>
                </c:pt>
                <c:pt idx="4">
                  <c:v>1540191455.5699999</c:v>
                </c:pt>
                <c:pt idx="5">
                  <c:v>1825906280.4499998</c:v>
                </c:pt>
                <c:pt idx="6">
                  <c:v>2138484846.0999999</c:v>
                </c:pt>
                <c:pt idx="7">
                  <c:v>2529649124.5099998</c:v>
                </c:pt>
                <c:pt idx="8">
                  <c:v>2791148643.4599996</c:v>
                </c:pt>
                <c:pt idx="9">
                  <c:v>3066921319.6899996</c:v>
                </c:pt>
                <c:pt idx="10">
                  <c:v>3493197432.6299996</c:v>
                </c:pt>
                <c:pt idx="11">
                  <c:v>3838579017.2199998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4-413E-9A4B-AA24DBC1C8D6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(kum)'!$F$28:$F$39</c:f>
              <c:numCache>
                <c:formatCode>#\ ##0_ ;\-#\ ##0\ </c:formatCode>
                <c:ptCount val="12"/>
                <c:pt idx="0">
                  <c:v>324587583.33333331</c:v>
                </c:pt>
                <c:pt idx="1">
                  <c:v>649175166.66666663</c:v>
                </c:pt>
                <c:pt idx="2">
                  <c:v>973762750</c:v>
                </c:pt>
                <c:pt idx="3">
                  <c:v>1298350333.3333333</c:v>
                </c:pt>
                <c:pt idx="4">
                  <c:v>1622937916.6666665</c:v>
                </c:pt>
                <c:pt idx="5">
                  <c:v>1947525500</c:v>
                </c:pt>
                <c:pt idx="6">
                  <c:v>2272113083.333333</c:v>
                </c:pt>
                <c:pt idx="7">
                  <c:v>2596700666.6666665</c:v>
                </c:pt>
                <c:pt idx="8">
                  <c:v>2921288250</c:v>
                </c:pt>
                <c:pt idx="9">
                  <c:v>3245875833.333333</c:v>
                </c:pt>
                <c:pt idx="10">
                  <c:v>3570463416.6666665</c:v>
                </c:pt>
                <c:pt idx="11">
                  <c:v>3895051000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4-413E-9A4B-AA24DBC1C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58848"/>
        <c:axId val="233474304"/>
      </c:lineChart>
      <c:catAx>
        <c:axId val="23335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74304"/>
        <c:crosses val="autoZero"/>
        <c:auto val="1"/>
        <c:lblAlgn val="ctr"/>
        <c:lblOffset val="100"/>
        <c:noMultiLvlLbl val="0"/>
      </c:catAx>
      <c:valAx>
        <c:axId val="23347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358848"/>
        <c:crosses val="autoZero"/>
        <c:crossBetween val="between"/>
        <c:majorUnit val="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 </a:t>
            </a:r>
            <a:r>
              <a:rPr lang="cs-CZ" sz="14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(kum)'!$E$8:$E$19</c:f>
              <c:numCache>
                <c:formatCode>#\ ##0_ ;\-#\ ##0\ </c:formatCode>
                <c:ptCount val="12"/>
                <c:pt idx="0">
                  <c:v>11820493.530000001</c:v>
                </c:pt>
                <c:pt idx="1">
                  <c:v>22944268</c:v>
                </c:pt>
                <c:pt idx="2">
                  <c:v>32339329.259999998</c:v>
                </c:pt>
                <c:pt idx="3">
                  <c:v>40898842.359999999</c:v>
                </c:pt>
                <c:pt idx="4">
                  <c:v>51363229.719999999</c:v>
                </c:pt>
                <c:pt idx="5">
                  <c:v>62919679.340000004</c:v>
                </c:pt>
                <c:pt idx="6">
                  <c:v>74844065.460000008</c:v>
                </c:pt>
                <c:pt idx="7">
                  <c:v>86569206.510000005</c:v>
                </c:pt>
                <c:pt idx="8">
                  <c:v>96073089.820000008</c:v>
                </c:pt>
                <c:pt idx="9">
                  <c:v>107326476.38000001</c:v>
                </c:pt>
                <c:pt idx="10">
                  <c:v>118796955.11000001</c:v>
                </c:pt>
                <c:pt idx="11">
                  <c:v>131957572.29000002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0-45F6-96BB-B5EC1AF32BBD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(kum)'!$F$8:$F$19</c:f>
              <c:numCache>
                <c:formatCode>#\ ##0_ ;\-#\ ##0\ </c:formatCode>
                <c:ptCount val="12"/>
                <c:pt idx="0">
                  <c:v>10774166.666666666</c:v>
                </c:pt>
                <c:pt idx="1">
                  <c:v>21548333.333333332</c:v>
                </c:pt>
                <c:pt idx="2">
                  <c:v>32322500</c:v>
                </c:pt>
                <c:pt idx="3">
                  <c:v>43096666.666666664</c:v>
                </c:pt>
                <c:pt idx="4">
                  <c:v>53870833.333333328</c:v>
                </c:pt>
                <c:pt idx="5">
                  <c:v>64645000</c:v>
                </c:pt>
                <c:pt idx="6">
                  <c:v>75419166.666666657</c:v>
                </c:pt>
                <c:pt idx="7">
                  <c:v>86193333.333333328</c:v>
                </c:pt>
                <c:pt idx="8">
                  <c:v>96967500</c:v>
                </c:pt>
                <c:pt idx="9">
                  <c:v>107741666.66666666</c:v>
                </c:pt>
                <c:pt idx="10">
                  <c:v>118515833.33333333</c:v>
                </c:pt>
                <c:pt idx="11">
                  <c:v>129290000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0-45F6-96BB-B5EC1AF32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59872"/>
        <c:axId val="233476032"/>
      </c:lineChart>
      <c:catAx>
        <c:axId val="2333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76032"/>
        <c:crosses val="autoZero"/>
        <c:auto val="1"/>
        <c:lblAlgn val="ctr"/>
        <c:lblOffset val="100"/>
        <c:noMultiLvlLbl val="0"/>
      </c:catAx>
      <c:valAx>
        <c:axId val="23347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35987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(kum)'!$K$8:$K$19</c:f>
              <c:numCache>
                <c:formatCode>#\ ##0_ ;\-#\ ##0\ </c:formatCode>
                <c:ptCount val="12"/>
                <c:pt idx="0">
                  <c:v>13739311.300000001</c:v>
                </c:pt>
                <c:pt idx="1">
                  <c:v>29546908.07</c:v>
                </c:pt>
                <c:pt idx="2">
                  <c:v>39352824.640000001</c:v>
                </c:pt>
                <c:pt idx="3">
                  <c:v>50889155.079999998</c:v>
                </c:pt>
                <c:pt idx="4">
                  <c:v>64239730.960000001</c:v>
                </c:pt>
                <c:pt idx="5">
                  <c:v>80016266.260000005</c:v>
                </c:pt>
                <c:pt idx="6">
                  <c:v>99956172.010000005</c:v>
                </c:pt>
                <c:pt idx="7">
                  <c:v>118519799.18000001</c:v>
                </c:pt>
                <c:pt idx="8">
                  <c:v>136444586.56999999</c:v>
                </c:pt>
                <c:pt idx="9">
                  <c:v>153905133.16</c:v>
                </c:pt>
                <c:pt idx="10">
                  <c:v>169043415.87</c:v>
                </c:pt>
                <c:pt idx="11">
                  <c:v>183041506.52000001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D-85CA-998D63C343DC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(kum)'!$L$8:$L$19</c:f>
              <c:numCache>
                <c:formatCode>#\ ##0_ ;\-#\ ##0\ </c:formatCode>
                <c:ptCount val="12"/>
                <c:pt idx="0">
                  <c:v>13986750</c:v>
                </c:pt>
                <c:pt idx="1">
                  <c:v>27973500</c:v>
                </c:pt>
                <c:pt idx="2">
                  <c:v>41960250</c:v>
                </c:pt>
                <c:pt idx="3">
                  <c:v>55947000</c:v>
                </c:pt>
                <c:pt idx="4">
                  <c:v>69933750</c:v>
                </c:pt>
                <c:pt idx="5">
                  <c:v>83920500</c:v>
                </c:pt>
                <c:pt idx="6">
                  <c:v>97907250</c:v>
                </c:pt>
                <c:pt idx="7">
                  <c:v>111894000</c:v>
                </c:pt>
                <c:pt idx="8">
                  <c:v>125880750</c:v>
                </c:pt>
                <c:pt idx="9">
                  <c:v>139867500</c:v>
                </c:pt>
                <c:pt idx="10">
                  <c:v>153854250</c:v>
                </c:pt>
                <c:pt idx="11">
                  <c:v>167841000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9-447D-85CA-998D63C34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60896"/>
        <c:axId val="233477760"/>
      </c:lineChart>
      <c:catAx>
        <c:axId val="23336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77760"/>
        <c:crosses val="autoZero"/>
        <c:auto val="1"/>
        <c:lblAlgn val="ctr"/>
        <c:lblOffset val="100"/>
        <c:noMultiLvlLbl val="0"/>
      </c:catAx>
      <c:valAx>
        <c:axId val="233477760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360896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(kum)'!$H$8:$H$19</c:f>
              <c:numCache>
                <c:formatCode>#\ ##0_ ;\-#\ ##0\ </c:formatCode>
                <c:ptCount val="12"/>
                <c:pt idx="0">
                  <c:v>4799314.12</c:v>
                </c:pt>
                <c:pt idx="1">
                  <c:v>7373566.7800000003</c:v>
                </c:pt>
                <c:pt idx="2">
                  <c:v>12922660.310000001</c:v>
                </c:pt>
                <c:pt idx="3">
                  <c:v>12922660.310000001</c:v>
                </c:pt>
                <c:pt idx="4">
                  <c:v>12922660.310000001</c:v>
                </c:pt>
                <c:pt idx="5">
                  <c:v>12922660.310000001</c:v>
                </c:pt>
                <c:pt idx="6">
                  <c:v>23824448.609999999</c:v>
                </c:pt>
                <c:pt idx="7">
                  <c:v>23824448.609999999</c:v>
                </c:pt>
                <c:pt idx="8">
                  <c:v>30647190.300000001</c:v>
                </c:pt>
                <c:pt idx="9">
                  <c:v>35546582.870000005</c:v>
                </c:pt>
                <c:pt idx="10">
                  <c:v>37725635.130000003</c:v>
                </c:pt>
                <c:pt idx="11">
                  <c:v>54276767.850000001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6-4EA8-898A-45BC8E0C7061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(kum)'!$I$8:$I$19</c:f>
              <c:numCache>
                <c:formatCode>#\ ##0_ ;\-#\ ##0\ </c:formatCode>
                <c:ptCount val="12"/>
                <c:pt idx="0">
                  <c:v>3243166.6666666665</c:v>
                </c:pt>
                <c:pt idx="1">
                  <c:v>6486333.333333333</c:v>
                </c:pt>
                <c:pt idx="2">
                  <c:v>9729500</c:v>
                </c:pt>
                <c:pt idx="3">
                  <c:v>12972666.666666666</c:v>
                </c:pt>
                <c:pt idx="4">
                  <c:v>16215833.333333332</c:v>
                </c:pt>
                <c:pt idx="5">
                  <c:v>19459000</c:v>
                </c:pt>
                <c:pt idx="6">
                  <c:v>22702166.666666664</c:v>
                </c:pt>
                <c:pt idx="7">
                  <c:v>25945333.333333332</c:v>
                </c:pt>
                <c:pt idx="8">
                  <c:v>29188500</c:v>
                </c:pt>
                <c:pt idx="9">
                  <c:v>32431666.666666664</c:v>
                </c:pt>
                <c:pt idx="10">
                  <c:v>35674833.333333328</c:v>
                </c:pt>
                <c:pt idx="11">
                  <c:v>38918000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6-4EA8-898A-45BC8E0C7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111488"/>
        <c:axId val="233479488"/>
      </c:lineChart>
      <c:catAx>
        <c:axId val="23411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79488"/>
        <c:crosses val="autoZero"/>
        <c:auto val="1"/>
        <c:lblAlgn val="ctr"/>
        <c:lblOffset val="100"/>
        <c:noMultiLvlLbl val="0"/>
      </c:catAx>
      <c:valAx>
        <c:axId val="233479488"/>
        <c:scaling>
          <c:orientation val="minMax"/>
          <c:max val="56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111488"/>
        <c:crosses val="autoZero"/>
        <c:crossBetween val="between"/>
        <c:majorUnit val="8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2019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(kum)'!$H$28:$H$39</c:f>
              <c:numCache>
                <c:formatCode>#\ ##0_ ;\-#\ ##0\ </c:formatCode>
                <c:ptCount val="12"/>
                <c:pt idx="0">
                  <c:v>643360163.25999999</c:v>
                </c:pt>
                <c:pt idx="1">
                  <c:v>1239506895.01</c:v>
                </c:pt>
                <c:pt idx="2">
                  <c:v>1871535057.25</c:v>
                </c:pt>
                <c:pt idx="3">
                  <c:v>2351344225.0100002</c:v>
                </c:pt>
                <c:pt idx="4">
                  <c:v>2926427263.6300001</c:v>
                </c:pt>
                <c:pt idx="5">
                  <c:v>3651946915.8299999</c:v>
                </c:pt>
                <c:pt idx="6">
                  <c:v>4539095144.0699997</c:v>
                </c:pt>
                <c:pt idx="7">
                  <c:v>5132088436.6399994</c:v>
                </c:pt>
                <c:pt idx="8">
                  <c:v>5725886862.8199997</c:v>
                </c:pt>
                <c:pt idx="9">
                  <c:v>6345340539.2799997</c:v>
                </c:pt>
                <c:pt idx="10">
                  <c:v>6974474496.8099995</c:v>
                </c:pt>
                <c:pt idx="11">
                  <c:v>7846036640.2800007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4-4F49-AC2A-B9A10B22887D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(kum)'!$I$28:$I$39</c:f>
              <c:numCache>
                <c:formatCode>#\ ##0_ ;\-#\ ##0\ </c:formatCode>
                <c:ptCount val="12"/>
                <c:pt idx="0">
                  <c:v>646299833.33333337</c:v>
                </c:pt>
                <c:pt idx="1">
                  <c:v>1292599666.6666667</c:v>
                </c:pt>
                <c:pt idx="2">
                  <c:v>1938899500</c:v>
                </c:pt>
                <c:pt idx="3">
                  <c:v>2585199333.3333335</c:v>
                </c:pt>
                <c:pt idx="4">
                  <c:v>3231499166.666667</c:v>
                </c:pt>
                <c:pt idx="5">
                  <c:v>3877799000</c:v>
                </c:pt>
                <c:pt idx="6">
                  <c:v>4524098833.333334</c:v>
                </c:pt>
                <c:pt idx="7">
                  <c:v>5170398666.666667</c:v>
                </c:pt>
                <c:pt idx="8">
                  <c:v>5816698500</c:v>
                </c:pt>
                <c:pt idx="9">
                  <c:v>6462998333.333334</c:v>
                </c:pt>
                <c:pt idx="10">
                  <c:v>7109298166.666667</c:v>
                </c:pt>
                <c:pt idx="11">
                  <c:v>7755598000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4-4F49-AC2A-B9A10B228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112512"/>
        <c:axId val="233432192"/>
      </c:lineChart>
      <c:catAx>
        <c:axId val="23411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32192"/>
        <c:crosses val="autoZero"/>
        <c:auto val="1"/>
        <c:lblAlgn val="ctr"/>
        <c:lblOffset val="100"/>
        <c:noMultiLvlLbl val="0"/>
      </c:catAx>
      <c:valAx>
        <c:axId val="23343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112512"/>
        <c:crosses val="autoZero"/>
        <c:crossBetween val="between"/>
        <c:majorUnit val="1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'2020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(měs)'!$B$28:$B$39</c:f>
              <c:numCache>
                <c:formatCode>#\ ##0_ ;\-#\ ##0\ </c:formatCode>
                <c:ptCount val="12"/>
                <c:pt idx="0">
                  <c:v>36309188.350000001</c:v>
                </c:pt>
                <c:pt idx="1">
                  <c:v>14521245.08</c:v>
                </c:pt>
                <c:pt idx="2">
                  <c:v>303860392.41999996</c:v>
                </c:pt>
                <c:pt idx="3">
                  <c:v>52740666.170000002</c:v>
                </c:pt>
                <c:pt idx="4">
                  <c:v>0</c:v>
                </c:pt>
                <c:pt idx="5">
                  <c:v>127269360.92</c:v>
                </c:pt>
                <c:pt idx="6">
                  <c:v>233375384.70999998</c:v>
                </c:pt>
                <c:pt idx="7">
                  <c:v>0</c:v>
                </c:pt>
                <c:pt idx="8">
                  <c:v>251701214.80000001</c:v>
                </c:pt>
                <c:pt idx="9">
                  <c:v>59149397.939999998</c:v>
                </c:pt>
                <c:pt idx="10">
                  <c:v>14619868</c:v>
                </c:pt>
                <c:pt idx="11">
                  <c:v>280775876.77000004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B-4B93-B325-1D3F9B96C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32256"/>
        <c:axId val="233433920"/>
      </c:lineChart>
      <c:catAx>
        <c:axId val="23363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33920"/>
        <c:crosses val="autoZero"/>
        <c:auto val="1"/>
        <c:lblAlgn val="ctr"/>
        <c:lblOffset val="100"/>
        <c:noMultiLvlLbl val="0"/>
      </c:catAx>
      <c:valAx>
        <c:axId val="233433920"/>
        <c:scaling>
          <c:orientation val="minMax"/>
          <c:max val="4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32256"/>
        <c:crosses val="autoZero"/>
        <c:crossBetween val="between"/>
        <c:majorUnit val="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(měs)'!$E$28:$E$39</c:f>
              <c:numCache>
                <c:formatCode>#\ ##0_ ;\-#\ ##0\ </c:formatCode>
                <c:ptCount val="12"/>
                <c:pt idx="0">
                  <c:v>341127569.38</c:v>
                </c:pt>
                <c:pt idx="1">
                  <c:v>420214346.32000005</c:v>
                </c:pt>
                <c:pt idx="2">
                  <c:v>218822493.73000002</c:v>
                </c:pt>
                <c:pt idx="3">
                  <c:v>219029944.34999999</c:v>
                </c:pt>
                <c:pt idx="4">
                  <c:v>315610937.76999998</c:v>
                </c:pt>
                <c:pt idx="5">
                  <c:v>207283989.04000002</c:v>
                </c:pt>
                <c:pt idx="6">
                  <c:v>296444964.03999996</c:v>
                </c:pt>
                <c:pt idx="7">
                  <c:v>405900212.11000001</c:v>
                </c:pt>
                <c:pt idx="8">
                  <c:v>287264617.94</c:v>
                </c:pt>
                <c:pt idx="9">
                  <c:v>292502785.63</c:v>
                </c:pt>
                <c:pt idx="10">
                  <c:v>427435434.78000003</c:v>
                </c:pt>
                <c:pt idx="11">
                  <c:v>338847804.18000001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0-42DC-8B37-0F391E83A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33280"/>
        <c:axId val="233435648"/>
      </c:lineChart>
      <c:catAx>
        <c:axId val="23363328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35648"/>
        <c:crosses val="autoZero"/>
        <c:auto val="1"/>
        <c:lblAlgn val="ctr"/>
        <c:lblOffset val="100"/>
        <c:noMultiLvlLbl val="0"/>
      </c:catAx>
      <c:valAx>
        <c:axId val="233435648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33280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(měs)'!$B$8:$B$19</c:f>
              <c:numCache>
                <c:formatCode>#\ ##0_ ;\-#\ ##0\ </c:formatCode>
                <c:ptCount val="12"/>
                <c:pt idx="0">
                  <c:v>183037499.32999998</c:v>
                </c:pt>
                <c:pt idx="1">
                  <c:v>169215452.51999998</c:v>
                </c:pt>
                <c:pt idx="2">
                  <c:v>155784483.44</c:v>
                </c:pt>
                <c:pt idx="3">
                  <c:v>129099977.53</c:v>
                </c:pt>
                <c:pt idx="4">
                  <c:v>32351760.940000001</c:v>
                </c:pt>
                <c:pt idx="5">
                  <c:v>111308479.09999999</c:v>
                </c:pt>
                <c:pt idx="6">
                  <c:v>163054146.72</c:v>
                </c:pt>
                <c:pt idx="7">
                  <c:v>169050264.44999999</c:v>
                </c:pt>
                <c:pt idx="8">
                  <c:v>161231565.73000002</c:v>
                </c:pt>
                <c:pt idx="9">
                  <c:v>171642001.13999999</c:v>
                </c:pt>
                <c:pt idx="10">
                  <c:v>169532040.53</c:v>
                </c:pt>
                <c:pt idx="11">
                  <c:v>197886372.27000001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6-42CB-BA2D-B9B27CBE9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34304"/>
        <c:axId val="233437376"/>
      </c:lineChart>
      <c:catAx>
        <c:axId val="23363430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37376"/>
        <c:crosses val="autoZero"/>
        <c:auto val="1"/>
        <c:lblAlgn val="ctr"/>
        <c:lblOffset val="100"/>
        <c:noMultiLvlLbl val="0"/>
      </c:catAx>
      <c:valAx>
        <c:axId val="23343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34304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21889105339105341"/>
          <c:w val="0.800781250000002"/>
          <c:h val="0.61031421356421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(měs)'!$H$28:$H$39</c:f>
              <c:numCache>
                <c:formatCode>#\ ##0_ ;\-#\ ##0\ </c:formatCode>
                <c:ptCount val="12"/>
                <c:pt idx="0">
                  <c:v>228682755</c:v>
                </c:pt>
                <c:pt idx="1">
                  <c:v>417718035</c:v>
                </c:pt>
                <c:pt idx="2">
                  <c:v>0</c:v>
                </c:pt>
                <c:pt idx="3">
                  <c:v>123202863</c:v>
                </c:pt>
                <c:pt idx="4">
                  <c:v>389946359</c:v>
                </c:pt>
                <c:pt idx="5">
                  <c:v>43988692</c:v>
                </c:pt>
                <c:pt idx="6">
                  <c:v>212410565</c:v>
                </c:pt>
                <c:pt idx="7">
                  <c:v>398176280</c:v>
                </c:pt>
                <c:pt idx="8">
                  <c:v>57432142</c:v>
                </c:pt>
                <c:pt idx="9">
                  <c:v>192866528</c:v>
                </c:pt>
                <c:pt idx="10">
                  <c:v>397869934</c:v>
                </c:pt>
                <c:pt idx="11">
                  <c:v>102867119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0-4692-87D1-402C3C2EE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23200"/>
        <c:axId val="215801152"/>
      </c:lineChart>
      <c:catAx>
        <c:axId val="2143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1580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801152"/>
        <c:scaling>
          <c:orientation val="minMax"/>
          <c:max val="490000000.00000006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14323200"/>
        <c:crosses val="autoZero"/>
        <c:crossBetween val="between"/>
        <c:majorUnit val="70000000"/>
        <c:minorUnit val="1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(měs)'!$E$8:$E$19</c:f>
              <c:numCache>
                <c:formatCode>#\ ##0_ ;\-#\ ##0\ </c:formatCode>
                <c:ptCount val="12"/>
                <c:pt idx="0">
                  <c:v>12493363.52</c:v>
                </c:pt>
                <c:pt idx="1">
                  <c:v>11549929.32</c:v>
                </c:pt>
                <c:pt idx="2">
                  <c:v>10633188.300000001</c:v>
                </c:pt>
                <c:pt idx="3">
                  <c:v>8811817.0600000005</c:v>
                </c:pt>
                <c:pt idx="4">
                  <c:v>2208194.0299999998</c:v>
                </c:pt>
                <c:pt idx="5">
                  <c:v>7597444.8200000003</c:v>
                </c:pt>
                <c:pt idx="6">
                  <c:v>11129384.689999999</c:v>
                </c:pt>
                <c:pt idx="7">
                  <c:v>11538654.280000001</c:v>
                </c:pt>
                <c:pt idx="8">
                  <c:v>11312600.539999999</c:v>
                </c:pt>
                <c:pt idx="9">
                  <c:v>11759394.560000001</c:v>
                </c:pt>
                <c:pt idx="10">
                  <c:v>11614838.719999999</c:v>
                </c:pt>
                <c:pt idx="11">
                  <c:v>13557427.190000001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0-48DD-A2B6-99A55F77A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35328"/>
        <c:axId val="233660416"/>
      </c:lineChart>
      <c:catAx>
        <c:axId val="23363532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60416"/>
        <c:crosses val="autoZero"/>
        <c:auto val="1"/>
        <c:lblAlgn val="ctr"/>
        <c:lblOffset val="100"/>
        <c:noMultiLvlLbl val="0"/>
      </c:catAx>
      <c:valAx>
        <c:axId val="233660416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3532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(měs)'!$K$8:$K$19</c:f>
              <c:numCache>
                <c:formatCode>#\ ##0_ ;\-#\ ##0\ </c:formatCode>
                <c:ptCount val="12"/>
                <c:pt idx="0">
                  <c:v>14595793.41</c:v>
                </c:pt>
                <c:pt idx="1">
                  <c:v>17133882.859999999</c:v>
                </c:pt>
                <c:pt idx="2">
                  <c:v>11805854.23</c:v>
                </c:pt>
                <c:pt idx="3">
                  <c:v>11355332.850000001</c:v>
                </c:pt>
                <c:pt idx="4">
                  <c:v>12679765.41</c:v>
                </c:pt>
                <c:pt idx="5">
                  <c:v>14568580.41</c:v>
                </c:pt>
                <c:pt idx="6">
                  <c:v>17117856</c:v>
                </c:pt>
                <c:pt idx="7">
                  <c:v>17133098.050000001</c:v>
                </c:pt>
                <c:pt idx="8">
                  <c:v>19373537.73</c:v>
                </c:pt>
                <c:pt idx="9">
                  <c:v>16838983.699999999</c:v>
                </c:pt>
                <c:pt idx="10">
                  <c:v>15844088.949999999</c:v>
                </c:pt>
                <c:pt idx="11">
                  <c:v>15190228.58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8-4951-8844-119F98586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820096"/>
        <c:axId val="233662144"/>
      </c:lineChart>
      <c:catAx>
        <c:axId val="234820096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62144"/>
        <c:crosses val="autoZero"/>
        <c:auto val="1"/>
        <c:lblAlgn val="ctr"/>
        <c:lblOffset val="100"/>
        <c:noMultiLvlLbl val="0"/>
      </c:catAx>
      <c:valAx>
        <c:axId val="233662144"/>
        <c:scaling>
          <c:orientation val="minMax"/>
          <c:max val="21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820096"/>
        <c:crosses val="autoZero"/>
        <c:crossBetween val="between"/>
        <c:majorUnit val="3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(měs)'!$H$8:$H$19</c:f>
              <c:numCache>
                <c:formatCode>#\ ##0_ ;\-#\ ##0\ </c:formatCode>
                <c:ptCount val="12"/>
                <c:pt idx="0">
                  <c:v>3520356.96</c:v>
                </c:pt>
                <c:pt idx="1">
                  <c:v>2430649.3200000003</c:v>
                </c:pt>
                <c:pt idx="2">
                  <c:v>7287228.959999999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1426552.5499999998</c:v>
                </c:pt>
                <c:pt idx="10">
                  <c:v>1455413.3199999998</c:v>
                </c:pt>
                <c:pt idx="11">
                  <c:v>13984254.18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9-4D3F-9E77-950BB5E8D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821120"/>
        <c:axId val="233663872"/>
      </c:lineChart>
      <c:catAx>
        <c:axId val="2348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63872"/>
        <c:crosses val="autoZero"/>
        <c:auto val="1"/>
        <c:lblAlgn val="ctr"/>
        <c:lblOffset val="100"/>
        <c:noMultiLvlLbl val="0"/>
      </c:catAx>
      <c:valAx>
        <c:axId val="233663872"/>
        <c:scaling>
          <c:orientation val="minMax"/>
          <c:max val="17500000.00000000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821120"/>
        <c:crosses val="autoZero"/>
        <c:crossBetween val="between"/>
        <c:majorUnit val="25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</a:t>
            </a:r>
            <a:r>
              <a:rPr lang="cs-CZ"/>
              <a:t>20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2018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(měs)'!$H$28:$H$39</c:f>
              <c:numCache>
                <c:formatCode>#\ ##0_ ;\-#\ ##0\ </c:formatCode>
                <c:ptCount val="12"/>
                <c:pt idx="0">
                  <c:v>591083770.95000005</c:v>
                </c:pt>
                <c:pt idx="1">
                  <c:v>635065505.42000008</c:v>
                </c:pt>
                <c:pt idx="2">
                  <c:v>708193641.07999992</c:v>
                </c:pt>
                <c:pt idx="3">
                  <c:v>421037737.96000004</c:v>
                </c:pt>
                <c:pt idx="4">
                  <c:v>362850658.14999998</c:v>
                </c:pt>
                <c:pt idx="5">
                  <c:v>468027854.29000002</c:v>
                </c:pt>
                <c:pt idx="6">
                  <c:v>721121736.15999997</c:v>
                </c:pt>
                <c:pt idx="7">
                  <c:v>603622228.88999999</c:v>
                </c:pt>
                <c:pt idx="8">
                  <c:v>730883536.74000001</c:v>
                </c:pt>
                <c:pt idx="9">
                  <c:v>553319115.51999998</c:v>
                </c:pt>
                <c:pt idx="10">
                  <c:v>640501684.29999995</c:v>
                </c:pt>
                <c:pt idx="11">
                  <c:v>860241963.17000008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1-4858-8B73-5595F0CB3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822144"/>
        <c:axId val="233665600"/>
      </c:lineChart>
      <c:catAx>
        <c:axId val="23482214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65600"/>
        <c:crosses val="autoZero"/>
        <c:auto val="1"/>
        <c:lblAlgn val="ctr"/>
        <c:lblOffset val="100"/>
        <c:noMultiLvlLbl val="0"/>
      </c:catAx>
      <c:valAx>
        <c:axId val="233665600"/>
        <c:scaling>
          <c:orientation val="minMax"/>
          <c:max val="10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822144"/>
        <c:crosses val="autoZero"/>
        <c:crossBetween val="between"/>
        <c:majorUnit val="1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(kum)'!$B$28:$B$39</c:f>
              <c:numCache>
                <c:formatCode>#\ ##0_ ;\-#\ ##0\ </c:formatCode>
                <c:ptCount val="12"/>
                <c:pt idx="0">
                  <c:v>36309188.350000001</c:v>
                </c:pt>
                <c:pt idx="1">
                  <c:v>50830433.43</c:v>
                </c:pt>
                <c:pt idx="2">
                  <c:v>354690825.84999996</c:v>
                </c:pt>
                <c:pt idx="3">
                  <c:v>407431492.01999998</c:v>
                </c:pt>
                <c:pt idx="4">
                  <c:v>407431492.01999998</c:v>
                </c:pt>
                <c:pt idx="5">
                  <c:v>534700852.94</c:v>
                </c:pt>
                <c:pt idx="6">
                  <c:v>768076237.64999998</c:v>
                </c:pt>
                <c:pt idx="7">
                  <c:v>768076237.64999998</c:v>
                </c:pt>
                <c:pt idx="8">
                  <c:v>1019777452.45</c:v>
                </c:pt>
                <c:pt idx="9">
                  <c:v>1078926850.3900001</c:v>
                </c:pt>
                <c:pt idx="10">
                  <c:v>1093546718.3900001</c:v>
                </c:pt>
                <c:pt idx="11">
                  <c:v>1374322595.1600001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2-4798-81CA-89DDA201682B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(kum)'!$C$28:$C$39</c:f>
              <c:numCache>
                <c:formatCode>#\ ##0_ ;\-#\ ##0\ </c:formatCode>
                <c:ptCount val="12"/>
                <c:pt idx="0">
                  <c:v>104276916.66666667</c:v>
                </c:pt>
                <c:pt idx="1">
                  <c:v>208553833.33333334</c:v>
                </c:pt>
                <c:pt idx="2">
                  <c:v>312830750</c:v>
                </c:pt>
                <c:pt idx="3">
                  <c:v>417107666.66666669</c:v>
                </c:pt>
                <c:pt idx="4">
                  <c:v>521384583.33333337</c:v>
                </c:pt>
                <c:pt idx="5">
                  <c:v>625661500</c:v>
                </c:pt>
                <c:pt idx="6">
                  <c:v>729938416.66666675</c:v>
                </c:pt>
                <c:pt idx="7">
                  <c:v>834215333.33333337</c:v>
                </c:pt>
                <c:pt idx="8">
                  <c:v>938492250</c:v>
                </c:pt>
                <c:pt idx="9">
                  <c:v>1042769166.6666667</c:v>
                </c:pt>
                <c:pt idx="10">
                  <c:v>1147046083.3333335</c:v>
                </c:pt>
                <c:pt idx="11">
                  <c:v>1251323000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2-4798-81CA-89DDA2016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62880"/>
        <c:axId val="233667328"/>
      </c:lineChart>
      <c:catAx>
        <c:axId val="23436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67328"/>
        <c:crosses val="autoZero"/>
        <c:auto val="1"/>
        <c:lblAlgn val="ctr"/>
        <c:lblOffset val="100"/>
        <c:noMultiLvlLbl val="0"/>
      </c:catAx>
      <c:valAx>
        <c:axId val="233667328"/>
        <c:scaling>
          <c:orientation val="minMax"/>
          <c:max val="18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362880"/>
        <c:crosses val="autoZero"/>
        <c:crossBetween val="between"/>
        <c:majorUnit val="2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fyzických osob placená plátci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(kum)'!$B$8:$B$19</c:f>
              <c:numCache>
                <c:formatCode>#\ ##0_ ;\-#\ ##0\ </c:formatCode>
                <c:ptCount val="12"/>
                <c:pt idx="0">
                  <c:v>183037499.32999998</c:v>
                </c:pt>
                <c:pt idx="1">
                  <c:v>352252951.84999996</c:v>
                </c:pt>
                <c:pt idx="2">
                  <c:v>508037435.28999996</c:v>
                </c:pt>
                <c:pt idx="3">
                  <c:v>637137412.81999993</c:v>
                </c:pt>
                <c:pt idx="4">
                  <c:v>669489173.75999999</c:v>
                </c:pt>
                <c:pt idx="5">
                  <c:v>780797652.86000001</c:v>
                </c:pt>
                <c:pt idx="6">
                  <c:v>943851799.58000004</c:v>
                </c:pt>
                <c:pt idx="7">
                  <c:v>1112902064.03</c:v>
                </c:pt>
                <c:pt idx="8">
                  <c:v>1274133629.76</c:v>
                </c:pt>
                <c:pt idx="9">
                  <c:v>1445775630.9000001</c:v>
                </c:pt>
                <c:pt idx="10">
                  <c:v>1615307671.4300001</c:v>
                </c:pt>
                <c:pt idx="11">
                  <c:v>1813194043.7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A-4D72-9962-D936C327E2EA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(kum)'!$C$8:$C$19</c:f>
              <c:numCache>
                <c:formatCode>#\ ##0_ ;\-#\ ##0\ </c:formatCode>
                <c:ptCount val="12"/>
                <c:pt idx="0">
                  <c:v>148684250</c:v>
                </c:pt>
                <c:pt idx="1">
                  <c:v>297368500</c:v>
                </c:pt>
                <c:pt idx="2">
                  <c:v>446052750</c:v>
                </c:pt>
                <c:pt idx="3">
                  <c:v>594737000</c:v>
                </c:pt>
                <c:pt idx="4">
                  <c:v>743421250</c:v>
                </c:pt>
                <c:pt idx="5">
                  <c:v>892105500</c:v>
                </c:pt>
                <c:pt idx="6">
                  <c:v>1040789750</c:v>
                </c:pt>
                <c:pt idx="7">
                  <c:v>1189474000</c:v>
                </c:pt>
                <c:pt idx="8">
                  <c:v>1338158250</c:v>
                </c:pt>
                <c:pt idx="9">
                  <c:v>1486842500</c:v>
                </c:pt>
                <c:pt idx="10">
                  <c:v>1635526750</c:v>
                </c:pt>
                <c:pt idx="11">
                  <c:v>1784211000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A-4D72-9962-D936C327E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64416"/>
        <c:axId val="234586688"/>
      </c:lineChart>
      <c:catAx>
        <c:axId val="23436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586688"/>
        <c:crosses val="autoZero"/>
        <c:auto val="1"/>
        <c:lblAlgn val="ctr"/>
        <c:lblOffset val="100"/>
        <c:noMultiLvlLbl val="0"/>
      </c:catAx>
      <c:valAx>
        <c:axId val="234586688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364416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(kum)'!$E$28:$E$39</c:f>
              <c:numCache>
                <c:formatCode>#\ ##0_ ;\-#\ ##0\ </c:formatCode>
                <c:ptCount val="12"/>
                <c:pt idx="0">
                  <c:v>341127569.38</c:v>
                </c:pt>
                <c:pt idx="1">
                  <c:v>761341915.70000005</c:v>
                </c:pt>
                <c:pt idx="2">
                  <c:v>980164409.43000007</c:v>
                </c:pt>
                <c:pt idx="3">
                  <c:v>1199194353.78</c:v>
                </c:pt>
                <c:pt idx="4">
                  <c:v>1514805291.55</c:v>
                </c:pt>
                <c:pt idx="5">
                  <c:v>1722089280.5899999</c:v>
                </c:pt>
                <c:pt idx="6">
                  <c:v>2018534244.6299999</c:v>
                </c:pt>
                <c:pt idx="7">
                  <c:v>2424434456.7399998</c:v>
                </c:pt>
                <c:pt idx="8">
                  <c:v>2711699074.6799998</c:v>
                </c:pt>
                <c:pt idx="9">
                  <c:v>3004201860.3099999</c:v>
                </c:pt>
                <c:pt idx="10">
                  <c:v>3431637295.0900002</c:v>
                </c:pt>
                <c:pt idx="11">
                  <c:v>3770485099.27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D-4D45-A17C-16606604F7D0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(kum)'!$F$28:$F$39</c:f>
              <c:numCache>
                <c:formatCode>#\ ##0_ ;\-#\ ##0\ </c:formatCode>
                <c:ptCount val="12"/>
                <c:pt idx="0">
                  <c:v>312884250</c:v>
                </c:pt>
                <c:pt idx="1">
                  <c:v>625768500</c:v>
                </c:pt>
                <c:pt idx="2">
                  <c:v>938652750</c:v>
                </c:pt>
                <c:pt idx="3">
                  <c:v>1251537000</c:v>
                </c:pt>
                <c:pt idx="4">
                  <c:v>1564421250</c:v>
                </c:pt>
                <c:pt idx="5">
                  <c:v>1877305500</c:v>
                </c:pt>
                <c:pt idx="6">
                  <c:v>2190189750</c:v>
                </c:pt>
                <c:pt idx="7">
                  <c:v>2503074000</c:v>
                </c:pt>
                <c:pt idx="8">
                  <c:v>2815958250</c:v>
                </c:pt>
                <c:pt idx="9">
                  <c:v>3128842500</c:v>
                </c:pt>
                <c:pt idx="10">
                  <c:v>3441726750</c:v>
                </c:pt>
                <c:pt idx="11">
                  <c:v>3754611000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D-4D45-A17C-16606604F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90016"/>
        <c:axId val="234588416"/>
      </c:lineChart>
      <c:catAx>
        <c:axId val="2343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588416"/>
        <c:crosses val="autoZero"/>
        <c:auto val="1"/>
        <c:lblAlgn val="ctr"/>
        <c:lblOffset val="100"/>
        <c:noMultiLvlLbl val="0"/>
      </c:catAx>
      <c:valAx>
        <c:axId val="234588416"/>
        <c:scaling>
          <c:orientation val="minMax"/>
          <c:max val="49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390016"/>
        <c:crosses val="autoZero"/>
        <c:crossBetween val="between"/>
        <c:majorUnit val="7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 </a:t>
            </a:r>
            <a:r>
              <a:rPr lang="cs-CZ" sz="14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(kum)'!$E$8:$E$19</c:f>
              <c:numCache>
                <c:formatCode>#\ ##0_ ;\-#\ ##0\ </c:formatCode>
                <c:ptCount val="12"/>
                <c:pt idx="0">
                  <c:v>12493363.52</c:v>
                </c:pt>
                <c:pt idx="1">
                  <c:v>24043292.84</c:v>
                </c:pt>
                <c:pt idx="2">
                  <c:v>34676481.140000001</c:v>
                </c:pt>
                <c:pt idx="3">
                  <c:v>43488298.200000003</c:v>
                </c:pt>
                <c:pt idx="4">
                  <c:v>45696492.230000004</c:v>
                </c:pt>
                <c:pt idx="5">
                  <c:v>53293937.050000004</c:v>
                </c:pt>
                <c:pt idx="6">
                  <c:v>64423321.740000002</c:v>
                </c:pt>
                <c:pt idx="7">
                  <c:v>75961976.020000011</c:v>
                </c:pt>
                <c:pt idx="8">
                  <c:v>87274576.560000002</c:v>
                </c:pt>
                <c:pt idx="9">
                  <c:v>99033971.120000005</c:v>
                </c:pt>
                <c:pt idx="10">
                  <c:v>110648809.84</c:v>
                </c:pt>
                <c:pt idx="11">
                  <c:v>124206237.03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B-45A2-89B2-1F2AB85C70E2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(kum)'!$F$8:$F$19</c:f>
              <c:numCache>
                <c:formatCode>#\ ##0_ ;\-#\ ##0\ </c:formatCode>
                <c:ptCount val="12"/>
                <c:pt idx="0">
                  <c:v>10149083.333333334</c:v>
                </c:pt>
                <c:pt idx="1">
                  <c:v>20298166.666666668</c:v>
                </c:pt>
                <c:pt idx="2">
                  <c:v>30447250</c:v>
                </c:pt>
                <c:pt idx="3">
                  <c:v>40596333.333333336</c:v>
                </c:pt>
                <c:pt idx="4">
                  <c:v>50745416.666666672</c:v>
                </c:pt>
                <c:pt idx="5">
                  <c:v>60894500</c:v>
                </c:pt>
                <c:pt idx="6">
                  <c:v>71043583.333333343</c:v>
                </c:pt>
                <c:pt idx="7">
                  <c:v>81192666.666666672</c:v>
                </c:pt>
                <c:pt idx="8">
                  <c:v>91341750</c:v>
                </c:pt>
                <c:pt idx="9">
                  <c:v>101490833.33333334</c:v>
                </c:pt>
                <c:pt idx="10">
                  <c:v>111639916.66666667</c:v>
                </c:pt>
                <c:pt idx="11">
                  <c:v>121789000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B-45A2-89B2-1F2AB85C7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91040"/>
        <c:axId val="234590144"/>
      </c:lineChart>
      <c:catAx>
        <c:axId val="23439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590144"/>
        <c:crosses val="autoZero"/>
        <c:auto val="1"/>
        <c:lblAlgn val="ctr"/>
        <c:lblOffset val="100"/>
        <c:noMultiLvlLbl val="0"/>
      </c:catAx>
      <c:valAx>
        <c:axId val="234590144"/>
        <c:scaling>
          <c:orientation val="minMax"/>
          <c:max val="175000000.0000000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391040"/>
        <c:crosses val="autoZero"/>
        <c:crossBetween val="between"/>
        <c:majorUnit val="2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(kum)'!$K$8:$K$19</c:f>
              <c:numCache>
                <c:formatCode>#\ ##0_ ;\-#\ ##0\ </c:formatCode>
                <c:ptCount val="12"/>
                <c:pt idx="0">
                  <c:v>14595793.41</c:v>
                </c:pt>
                <c:pt idx="1">
                  <c:v>31729676.27</c:v>
                </c:pt>
                <c:pt idx="2">
                  <c:v>43535530.5</c:v>
                </c:pt>
                <c:pt idx="3">
                  <c:v>54890863.350000001</c:v>
                </c:pt>
                <c:pt idx="4">
                  <c:v>67570628.760000005</c:v>
                </c:pt>
                <c:pt idx="5">
                  <c:v>82139209.170000002</c:v>
                </c:pt>
                <c:pt idx="6">
                  <c:v>99257065.170000002</c:v>
                </c:pt>
                <c:pt idx="7">
                  <c:v>116390163.22</c:v>
                </c:pt>
                <c:pt idx="8">
                  <c:v>135763700.94999999</c:v>
                </c:pt>
                <c:pt idx="9">
                  <c:v>152602684.64999998</c:v>
                </c:pt>
                <c:pt idx="10">
                  <c:v>168446773.59999996</c:v>
                </c:pt>
                <c:pt idx="11">
                  <c:v>183637002.17999998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D-4971-89D7-85890D7B7816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(kum)'!$L$8:$L$19</c:f>
              <c:numCache>
                <c:formatCode>#\ ##0_ ;\-#\ ##0\ </c:formatCode>
                <c:ptCount val="12"/>
                <c:pt idx="0">
                  <c:v>15594750</c:v>
                </c:pt>
                <c:pt idx="1">
                  <c:v>31189500</c:v>
                </c:pt>
                <c:pt idx="2">
                  <c:v>46784250</c:v>
                </c:pt>
                <c:pt idx="3">
                  <c:v>62379000</c:v>
                </c:pt>
                <c:pt idx="4">
                  <c:v>77973750</c:v>
                </c:pt>
                <c:pt idx="5">
                  <c:v>93568500</c:v>
                </c:pt>
                <c:pt idx="6">
                  <c:v>109163250</c:v>
                </c:pt>
                <c:pt idx="7">
                  <c:v>124758000</c:v>
                </c:pt>
                <c:pt idx="8">
                  <c:v>140352750</c:v>
                </c:pt>
                <c:pt idx="9">
                  <c:v>155947500</c:v>
                </c:pt>
                <c:pt idx="10">
                  <c:v>171542250</c:v>
                </c:pt>
                <c:pt idx="11">
                  <c:v>187137000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D-4971-89D7-85890D7B7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92064"/>
        <c:axId val="234591872"/>
      </c:lineChart>
      <c:catAx>
        <c:axId val="2343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591872"/>
        <c:crosses val="autoZero"/>
        <c:auto val="1"/>
        <c:lblAlgn val="ctr"/>
        <c:lblOffset val="100"/>
        <c:noMultiLvlLbl val="0"/>
      </c:catAx>
      <c:valAx>
        <c:axId val="234591872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392064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(kum)'!$H$8:$H$19</c:f>
              <c:numCache>
                <c:formatCode>#\ ##0_ ;\-#\ ##0\ </c:formatCode>
                <c:ptCount val="12"/>
                <c:pt idx="0">
                  <c:v>3520356.96</c:v>
                </c:pt>
                <c:pt idx="1">
                  <c:v>5951006.2800000003</c:v>
                </c:pt>
                <c:pt idx="2">
                  <c:v>13238235.239999998</c:v>
                </c:pt>
                <c:pt idx="3">
                  <c:v>13238235.239999998</c:v>
                </c:pt>
                <c:pt idx="4">
                  <c:v>13238235.239999998</c:v>
                </c:pt>
                <c:pt idx="5">
                  <c:v>13238235.239999998</c:v>
                </c:pt>
                <c:pt idx="6">
                  <c:v>13238235.239999998</c:v>
                </c:pt>
                <c:pt idx="7">
                  <c:v>13238235.239999998</c:v>
                </c:pt>
                <c:pt idx="8">
                  <c:v>13238235.239999998</c:v>
                </c:pt>
                <c:pt idx="9">
                  <c:v>14664787.789999999</c:v>
                </c:pt>
                <c:pt idx="10">
                  <c:v>16120201.109999999</c:v>
                </c:pt>
                <c:pt idx="11">
                  <c:v>30104455.289999999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E-465B-BBFF-56C9A39B3EE5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(kum)'!$I$8:$I$19</c:f>
              <c:numCache>
                <c:formatCode>#\ ##0_ ;\-#\ ##0\ </c:formatCode>
                <c:ptCount val="12"/>
                <c:pt idx="0">
                  <c:v>3811500</c:v>
                </c:pt>
                <c:pt idx="1">
                  <c:v>7623000</c:v>
                </c:pt>
                <c:pt idx="2">
                  <c:v>11434500</c:v>
                </c:pt>
                <c:pt idx="3">
                  <c:v>15246000</c:v>
                </c:pt>
                <c:pt idx="4">
                  <c:v>19057500</c:v>
                </c:pt>
                <c:pt idx="5">
                  <c:v>22869000</c:v>
                </c:pt>
                <c:pt idx="6">
                  <c:v>26680500</c:v>
                </c:pt>
                <c:pt idx="7">
                  <c:v>30492000</c:v>
                </c:pt>
                <c:pt idx="8">
                  <c:v>34303500</c:v>
                </c:pt>
                <c:pt idx="9">
                  <c:v>38115000</c:v>
                </c:pt>
                <c:pt idx="10">
                  <c:v>41926500</c:v>
                </c:pt>
                <c:pt idx="11">
                  <c:v>45738000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E-465B-BBFF-56C9A39B3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93088"/>
        <c:axId val="234593600"/>
      </c:lineChart>
      <c:catAx>
        <c:axId val="23439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593600"/>
        <c:crosses val="autoZero"/>
        <c:auto val="1"/>
        <c:lblAlgn val="ctr"/>
        <c:lblOffset val="100"/>
        <c:noMultiLvlLbl val="0"/>
      </c:catAx>
      <c:valAx>
        <c:axId val="234593600"/>
        <c:scaling>
          <c:orientation val="minMax"/>
          <c:max val="56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393088"/>
        <c:crosses val="autoZero"/>
        <c:crossBetween val="between"/>
        <c:majorUnit val="8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1"/>
          <c:y val="0.20553045515394924"/>
          <c:w val="0.8086643835616435"/>
          <c:h val="0.61555321285140563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(měs)'!$B$8:$B$19</c:f>
              <c:numCache>
                <c:formatCode>#\ ##0_ ;\-#\ ##0\ </c:formatCode>
                <c:ptCount val="12"/>
                <c:pt idx="0">
                  <c:v>153821859</c:v>
                </c:pt>
                <c:pt idx="1">
                  <c:v>107498603</c:v>
                </c:pt>
                <c:pt idx="2">
                  <c:v>82433168</c:v>
                </c:pt>
                <c:pt idx="3">
                  <c:v>67861279</c:v>
                </c:pt>
                <c:pt idx="4">
                  <c:v>79127413</c:v>
                </c:pt>
                <c:pt idx="5">
                  <c:v>101099590</c:v>
                </c:pt>
                <c:pt idx="6">
                  <c:v>97414057</c:v>
                </c:pt>
                <c:pt idx="7">
                  <c:v>107677103</c:v>
                </c:pt>
                <c:pt idx="8">
                  <c:v>76978219.230000004</c:v>
                </c:pt>
                <c:pt idx="9">
                  <c:v>94152475.859999999</c:v>
                </c:pt>
                <c:pt idx="10">
                  <c:v>105293106.40000001</c:v>
                </c:pt>
                <c:pt idx="11">
                  <c:v>97489297.729999989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2-49D8-B715-C75B64445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24224"/>
        <c:axId val="221283456"/>
      </c:lineChart>
      <c:catAx>
        <c:axId val="2143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1283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283456"/>
        <c:scaling>
          <c:orientation val="minMax"/>
          <c:max val="18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14324224"/>
        <c:crosses val="autoZero"/>
        <c:crossBetween val="between"/>
        <c:majorUnit val="3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2020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(kum)'!$H$28:$H$39</c:f>
              <c:numCache>
                <c:formatCode>#\ ##0_ ;\-#\ ##0\ </c:formatCode>
                <c:ptCount val="12"/>
                <c:pt idx="0">
                  <c:v>591083770.95000005</c:v>
                </c:pt>
                <c:pt idx="1">
                  <c:v>1226149276.3699999</c:v>
                </c:pt>
                <c:pt idx="2">
                  <c:v>1934342917.45</c:v>
                </c:pt>
                <c:pt idx="3">
                  <c:v>2355380655.4099998</c:v>
                </c:pt>
                <c:pt idx="4">
                  <c:v>2718231313.5599999</c:v>
                </c:pt>
                <c:pt idx="5">
                  <c:v>3186259167.8499999</c:v>
                </c:pt>
                <c:pt idx="6">
                  <c:v>3907380904.0100002</c:v>
                </c:pt>
                <c:pt idx="7">
                  <c:v>4511003132.8999996</c:v>
                </c:pt>
                <c:pt idx="8">
                  <c:v>5241886669.6399994</c:v>
                </c:pt>
                <c:pt idx="9">
                  <c:v>5795205785.1599998</c:v>
                </c:pt>
                <c:pt idx="10">
                  <c:v>6435707469.46</c:v>
                </c:pt>
                <c:pt idx="11">
                  <c:v>7295949432.6299992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B-43D9-92D4-756BBF5958D4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(kum)'!$I$28:$I$39</c:f>
              <c:numCache>
                <c:formatCode>#\ ##0_ ;\-#\ ##0\ </c:formatCode>
                <c:ptCount val="12"/>
                <c:pt idx="0">
                  <c:v>595400750</c:v>
                </c:pt>
                <c:pt idx="1">
                  <c:v>1190801500</c:v>
                </c:pt>
                <c:pt idx="2">
                  <c:v>1786202250</c:v>
                </c:pt>
                <c:pt idx="3">
                  <c:v>2381603000</c:v>
                </c:pt>
                <c:pt idx="4">
                  <c:v>2977003750</c:v>
                </c:pt>
                <c:pt idx="5">
                  <c:v>3572404500</c:v>
                </c:pt>
                <c:pt idx="6">
                  <c:v>4167805250</c:v>
                </c:pt>
                <c:pt idx="7">
                  <c:v>4763206000</c:v>
                </c:pt>
                <c:pt idx="8">
                  <c:v>5358606750</c:v>
                </c:pt>
                <c:pt idx="9">
                  <c:v>5954007500</c:v>
                </c:pt>
                <c:pt idx="10">
                  <c:v>6549408250</c:v>
                </c:pt>
                <c:pt idx="11">
                  <c:v>7144809000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B-43D9-92D4-756BBF595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17824"/>
        <c:axId val="235504768"/>
      </c:lineChart>
      <c:catAx>
        <c:axId val="2359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5504768"/>
        <c:crosses val="autoZero"/>
        <c:auto val="1"/>
        <c:lblAlgn val="ctr"/>
        <c:lblOffset val="100"/>
        <c:noMultiLvlLbl val="0"/>
      </c:catAx>
      <c:valAx>
        <c:axId val="235504768"/>
        <c:scaling>
          <c:orientation val="minMax"/>
          <c:max val="87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5917824"/>
        <c:crosses val="autoZero"/>
        <c:crossBetween val="between"/>
        <c:majorUnit val="1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2020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(kum)'!$B$28:$B$39</c:f>
              <c:numCache>
                <c:formatCode>#\ ##0_ ;\-#\ ##0\ </c:formatCode>
                <c:ptCount val="12"/>
                <c:pt idx="0">
                  <c:v>36309188.350000001</c:v>
                </c:pt>
                <c:pt idx="1">
                  <c:v>50830433.43</c:v>
                </c:pt>
                <c:pt idx="2">
                  <c:v>354690825.84999996</c:v>
                </c:pt>
                <c:pt idx="3">
                  <c:v>407431492.01999998</c:v>
                </c:pt>
                <c:pt idx="4">
                  <c:v>407431492.01999998</c:v>
                </c:pt>
                <c:pt idx="5">
                  <c:v>534700852.94</c:v>
                </c:pt>
                <c:pt idx="6">
                  <c:v>768076237.64999998</c:v>
                </c:pt>
                <c:pt idx="7">
                  <c:v>768076237.64999998</c:v>
                </c:pt>
                <c:pt idx="8">
                  <c:v>1019777452.45</c:v>
                </c:pt>
                <c:pt idx="9">
                  <c:v>1078926850.3900001</c:v>
                </c:pt>
                <c:pt idx="10">
                  <c:v>1093546718.3900001</c:v>
                </c:pt>
                <c:pt idx="11">
                  <c:v>1374322595.1600001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2-4965-9729-256049A7BA1B}"/>
            </c:ext>
          </c:extLst>
        </c:ser>
        <c:ser>
          <c:idx val="1"/>
          <c:order val="1"/>
          <c:tx>
            <c:v>skutečnost 2019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(kum)'!$B$28:$B$39</c:f>
              <c:numCache>
                <c:formatCode>#\ ##0_ ;\-#\ ##0\ </c:formatCode>
                <c:ptCount val="12"/>
                <c:pt idx="0">
                  <c:v>106863469.45</c:v>
                </c:pt>
                <c:pt idx="1">
                  <c:v>116983411.94</c:v>
                </c:pt>
                <c:pt idx="2">
                  <c:v>405435388.83000004</c:v>
                </c:pt>
                <c:pt idx="3">
                  <c:v>499495806.57000005</c:v>
                </c:pt>
                <c:pt idx="4">
                  <c:v>506259862.80000007</c:v>
                </c:pt>
                <c:pt idx="5">
                  <c:v>749659436.20000005</c:v>
                </c:pt>
                <c:pt idx="6">
                  <c:v>1107007793.3900001</c:v>
                </c:pt>
                <c:pt idx="7">
                  <c:v>1107007793.3900001</c:v>
                </c:pt>
                <c:pt idx="8">
                  <c:v>1264128920.6700001</c:v>
                </c:pt>
                <c:pt idx="9">
                  <c:v>1409325724.6300001</c:v>
                </c:pt>
                <c:pt idx="10">
                  <c:v>1415344315.5100002</c:v>
                </c:pt>
                <c:pt idx="11">
                  <c:v>1705001750.8900003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2-4965-9729-256049A7B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144704"/>
        <c:axId val="235506496"/>
      </c:lineChart>
      <c:catAx>
        <c:axId val="2351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5506496"/>
        <c:crosses val="autoZero"/>
        <c:auto val="1"/>
        <c:lblAlgn val="ctr"/>
        <c:lblOffset val="100"/>
        <c:noMultiLvlLbl val="0"/>
      </c:catAx>
      <c:valAx>
        <c:axId val="235506496"/>
        <c:scaling>
          <c:orientation val="minMax"/>
          <c:max val="18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5144704"/>
        <c:crosses val="autoZero"/>
        <c:crossBetween val="between"/>
        <c:majorUnit val="2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fyzických osob placená plátci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2020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(kum)'!$B$8:$B$19</c:f>
              <c:numCache>
                <c:formatCode>#\ ##0_ ;\-#\ ##0\ </c:formatCode>
                <c:ptCount val="12"/>
                <c:pt idx="0">
                  <c:v>183037499.32999998</c:v>
                </c:pt>
                <c:pt idx="1">
                  <c:v>352252951.84999996</c:v>
                </c:pt>
                <c:pt idx="2">
                  <c:v>508037435.28999996</c:v>
                </c:pt>
                <c:pt idx="3">
                  <c:v>637137412.81999993</c:v>
                </c:pt>
                <c:pt idx="4">
                  <c:v>669489173.75999999</c:v>
                </c:pt>
                <c:pt idx="5">
                  <c:v>780797652.86000001</c:v>
                </c:pt>
                <c:pt idx="6">
                  <c:v>943851799.58000004</c:v>
                </c:pt>
                <c:pt idx="7">
                  <c:v>1112902064.03</c:v>
                </c:pt>
                <c:pt idx="8">
                  <c:v>1274133629.76</c:v>
                </c:pt>
                <c:pt idx="9">
                  <c:v>1445775630.9000001</c:v>
                </c:pt>
                <c:pt idx="10">
                  <c:v>1615307671.4300001</c:v>
                </c:pt>
                <c:pt idx="11">
                  <c:v>1813194043.7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E-4DB6-8567-D2A5A40ADF3C}"/>
            </c:ext>
          </c:extLst>
        </c:ser>
        <c:ser>
          <c:idx val="1"/>
          <c:order val="1"/>
          <c:tx>
            <c:v>skutečnost 2019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(kum)'!$B$8:$B$19</c:f>
              <c:numCache>
                <c:formatCode>#\ ##0_ ;\-#\ ##0\ </c:formatCode>
                <c:ptCount val="12"/>
                <c:pt idx="0">
                  <c:v>172935264.22</c:v>
                </c:pt>
                <c:pt idx="1">
                  <c:v>335677442.97000003</c:v>
                </c:pt>
                <c:pt idx="2">
                  <c:v>473128336.84000003</c:v>
                </c:pt>
                <c:pt idx="3">
                  <c:v>598355058.85000002</c:v>
                </c:pt>
                <c:pt idx="4">
                  <c:v>751450324.26999998</c:v>
                </c:pt>
                <c:pt idx="5">
                  <c:v>920522593.26999998</c:v>
                </c:pt>
                <c:pt idx="6">
                  <c:v>1094977818.5</c:v>
                </c:pt>
                <c:pt idx="7">
                  <c:v>1266518064.4400001</c:v>
                </c:pt>
                <c:pt idx="8">
                  <c:v>1407444432</c:v>
                </c:pt>
                <c:pt idx="9">
                  <c:v>1572315302.55</c:v>
                </c:pt>
                <c:pt idx="10">
                  <c:v>1740366742.5599999</c:v>
                </c:pt>
                <c:pt idx="11">
                  <c:v>1933180025.51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E-4DB6-8567-D2A5A40AD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145728"/>
        <c:axId val="235508224"/>
      </c:lineChart>
      <c:catAx>
        <c:axId val="23514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5508224"/>
        <c:crosses val="autoZero"/>
        <c:auto val="1"/>
        <c:lblAlgn val="ctr"/>
        <c:lblOffset val="100"/>
        <c:noMultiLvlLbl val="0"/>
      </c:catAx>
      <c:valAx>
        <c:axId val="235508224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5145728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2020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(kum)'!$E$28:$E$39</c:f>
              <c:numCache>
                <c:formatCode>#\ ##0_ ;\-#\ ##0\ </c:formatCode>
                <c:ptCount val="12"/>
                <c:pt idx="0">
                  <c:v>341127569.38</c:v>
                </c:pt>
                <c:pt idx="1">
                  <c:v>761341915.70000005</c:v>
                </c:pt>
                <c:pt idx="2">
                  <c:v>980164409.43000007</c:v>
                </c:pt>
                <c:pt idx="3">
                  <c:v>1199194353.78</c:v>
                </c:pt>
                <c:pt idx="4">
                  <c:v>1514805291.55</c:v>
                </c:pt>
                <c:pt idx="5">
                  <c:v>1722089280.5899999</c:v>
                </c:pt>
                <c:pt idx="6">
                  <c:v>2018534244.6299999</c:v>
                </c:pt>
                <c:pt idx="7">
                  <c:v>2424434456.7399998</c:v>
                </c:pt>
                <c:pt idx="8">
                  <c:v>2711699074.6799998</c:v>
                </c:pt>
                <c:pt idx="9">
                  <c:v>3004201860.3099999</c:v>
                </c:pt>
                <c:pt idx="10">
                  <c:v>3431637295.0900002</c:v>
                </c:pt>
                <c:pt idx="11">
                  <c:v>3770485099.27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D-4C67-84F9-D45E7F70FFD1}"/>
            </c:ext>
          </c:extLst>
        </c:ser>
        <c:ser>
          <c:idx val="1"/>
          <c:order val="1"/>
          <c:tx>
            <c:v>skutečnost 2019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(kum)'!$E$28:$E$39</c:f>
              <c:numCache>
                <c:formatCode>#\ ##0_ ;\-#\ ##0\ </c:formatCode>
                <c:ptCount val="12"/>
                <c:pt idx="0">
                  <c:v>333202310.63999999</c:v>
                </c:pt>
                <c:pt idx="1">
                  <c:v>726981297.25</c:v>
                </c:pt>
                <c:pt idx="2">
                  <c:v>908356517.37</c:v>
                </c:pt>
                <c:pt idx="3">
                  <c:v>1148782701.8399999</c:v>
                </c:pt>
                <c:pt idx="4">
                  <c:v>1540191455.5699999</c:v>
                </c:pt>
                <c:pt idx="5">
                  <c:v>1825906280.4499998</c:v>
                </c:pt>
                <c:pt idx="6">
                  <c:v>2138484846.0999999</c:v>
                </c:pt>
                <c:pt idx="7">
                  <c:v>2529649124.5099998</c:v>
                </c:pt>
                <c:pt idx="8">
                  <c:v>2791148643.4599996</c:v>
                </c:pt>
                <c:pt idx="9">
                  <c:v>3066921319.6899996</c:v>
                </c:pt>
                <c:pt idx="10">
                  <c:v>3493197432.6299996</c:v>
                </c:pt>
                <c:pt idx="11">
                  <c:v>3838579017.2199998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D-4C67-84F9-D45E7F70F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244352"/>
        <c:axId val="235509952"/>
      </c:lineChart>
      <c:catAx>
        <c:axId val="23024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5509952"/>
        <c:crosses val="autoZero"/>
        <c:auto val="1"/>
        <c:lblAlgn val="ctr"/>
        <c:lblOffset val="100"/>
        <c:noMultiLvlLbl val="0"/>
      </c:catAx>
      <c:valAx>
        <c:axId val="23550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244352"/>
        <c:crosses val="autoZero"/>
        <c:crossBetween val="between"/>
        <c:majorUnit val="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 </a:t>
            </a:r>
            <a:r>
              <a:rPr lang="cs-CZ" sz="14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2020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(kum)'!$E$8:$E$19</c:f>
              <c:numCache>
                <c:formatCode>#\ ##0_ ;\-#\ ##0\ </c:formatCode>
                <c:ptCount val="12"/>
                <c:pt idx="0">
                  <c:v>12493363.52</c:v>
                </c:pt>
                <c:pt idx="1">
                  <c:v>24043292.84</c:v>
                </c:pt>
                <c:pt idx="2">
                  <c:v>34676481.140000001</c:v>
                </c:pt>
                <c:pt idx="3">
                  <c:v>43488298.200000003</c:v>
                </c:pt>
                <c:pt idx="4">
                  <c:v>45696492.230000004</c:v>
                </c:pt>
                <c:pt idx="5">
                  <c:v>53293937.050000004</c:v>
                </c:pt>
                <c:pt idx="6">
                  <c:v>64423321.740000002</c:v>
                </c:pt>
                <c:pt idx="7">
                  <c:v>75961976.020000011</c:v>
                </c:pt>
                <c:pt idx="8">
                  <c:v>87274576.560000002</c:v>
                </c:pt>
                <c:pt idx="9">
                  <c:v>99033971.120000005</c:v>
                </c:pt>
                <c:pt idx="10">
                  <c:v>110648809.84</c:v>
                </c:pt>
                <c:pt idx="11">
                  <c:v>124206237.03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9-4868-BE1D-B4203E9173B2}"/>
            </c:ext>
          </c:extLst>
        </c:ser>
        <c:ser>
          <c:idx val="1"/>
          <c:order val="1"/>
          <c:tx>
            <c:v>skutečnost 2019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(kum)'!$E$8:$E$19</c:f>
              <c:numCache>
                <c:formatCode>#\ ##0_ ;\-#\ ##0\ </c:formatCode>
                <c:ptCount val="12"/>
                <c:pt idx="0">
                  <c:v>11820493.530000001</c:v>
                </c:pt>
                <c:pt idx="1">
                  <c:v>22944268</c:v>
                </c:pt>
                <c:pt idx="2">
                  <c:v>32339329.259999998</c:v>
                </c:pt>
                <c:pt idx="3">
                  <c:v>40898842.359999999</c:v>
                </c:pt>
                <c:pt idx="4">
                  <c:v>51363229.719999999</c:v>
                </c:pt>
                <c:pt idx="5">
                  <c:v>62919679.340000004</c:v>
                </c:pt>
                <c:pt idx="6">
                  <c:v>74844065.460000008</c:v>
                </c:pt>
                <c:pt idx="7">
                  <c:v>86569206.510000005</c:v>
                </c:pt>
                <c:pt idx="8">
                  <c:v>96073089.820000008</c:v>
                </c:pt>
                <c:pt idx="9">
                  <c:v>107326476.38000001</c:v>
                </c:pt>
                <c:pt idx="10">
                  <c:v>118796955.11000001</c:v>
                </c:pt>
                <c:pt idx="11">
                  <c:v>131957572.29000002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9-4868-BE1D-B4203E917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245376"/>
        <c:axId val="236036096"/>
      </c:lineChart>
      <c:catAx>
        <c:axId val="23024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6036096"/>
        <c:crosses val="autoZero"/>
        <c:auto val="1"/>
        <c:lblAlgn val="ctr"/>
        <c:lblOffset val="100"/>
        <c:noMultiLvlLbl val="0"/>
      </c:catAx>
      <c:valAx>
        <c:axId val="23603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245376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2020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(kum)'!$K$8:$K$19</c:f>
              <c:numCache>
                <c:formatCode>#\ ##0_ ;\-#\ ##0\ </c:formatCode>
                <c:ptCount val="12"/>
                <c:pt idx="0">
                  <c:v>14595793.41</c:v>
                </c:pt>
                <c:pt idx="1">
                  <c:v>31729676.27</c:v>
                </c:pt>
                <c:pt idx="2">
                  <c:v>43535530.5</c:v>
                </c:pt>
                <c:pt idx="3">
                  <c:v>54890863.350000001</c:v>
                </c:pt>
                <c:pt idx="4">
                  <c:v>67570628.760000005</c:v>
                </c:pt>
                <c:pt idx="5">
                  <c:v>82139209.170000002</c:v>
                </c:pt>
                <c:pt idx="6">
                  <c:v>99257065.170000002</c:v>
                </c:pt>
                <c:pt idx="7">
                  <c:v>116390163.22</c:v>
                </c:pt>
                <c:pt idx="8">
                  <c:v>135763700.94999999</c:v>
                </c:pt>
                <c:pt idx="9">
                  <c:v>152602684.64999998</c:v>
                </c:pt>
                <c:pt idx="10">
                  <c:v>168446773.59999996</c:v>
                </c:pt>
                <c:pt idx="11">
                  <c:v>183637002.17999998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6-4075-8512-E31692270BD9}"/>
            </c:ext>
          </c:extLst>
        </c:ser>
        <c:ser>
          <c:idx val="1"/>
          <c:order val="1"/>
          <c:tx>
            <c:v>skutečnost 2019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(kum)'!$K$8:$K$19</c:f>
              <c:numCache>
                <c:formatCode>#\ ##0_ ;\-#\ ##0\ </c:formatCode>
                <c:ptCount val="12"/>
                <c:pt idx="0">
                  <c:v>13739311.300000001</c:v>
                </c:pt>
                <c:pt idx="1">
                  <c:v>29546908.07</c:v>
                </c:pt>
                <c:pt idx="2">
                  <c:v>39352824.640000001</c:v>
                </c:pt>
                <c:pt idx="3">
                  <c:v>50889155.079999998</c:v>
                </c:pt>
                <c:pt idx="4">
                  <c:v>64239730.960000001</c:v>
                </c:pt>
                <c:pt idx="5">
                  <c:v>80016266.260000005</c:v>
                </c:pt>
                <c:pt idx="6">
                  <c:v>99956172.010000005</c:v>
                </c:pt>
                <c:pt idx="7">
                  <c:v>118519799.18000001</c:v>
                </c:pt>
                <c:pt idx="8">
                  <c:v>136444586.56999999</c:v>
                </c:pt>
                <c:pt idx="9">
                  <c:v>153905133.16</c:v>
                </c:pt>
                <c:pt idx="10">
                  <c:v>169043415.87</c:v>
                </c:pt>
                <c:pt idx="11">
                  <c:v>183041506.52000001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6-4075-8512-E31692270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245888"/>
        <c:axId val="236037824"/>
      </c:lineChart>
      <c:catAx>
        <c:axId val="23024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6037824"/>
        <c:crosses val="autoZero"/>
        <c:auto val="1"/>
        <c:lblAlgn val="ctr"/>
        <c:lblOffset val="100"/>
        <c:noMultiLvlLbl val="0"/>
      </c:catAx>
      <c:valAx>
        <c:axId val="236037824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245888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2020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(kum)'!$H$8:$H$19</c:f>
              <c:numCache>
                <c:formatCode>#\ ##0_ ;\-#\ ##0\ </c:formatCode>
                <c:ptCount val="12"/>
                <c:pt idx="0">
                  <c:v>3520356.96</c:v>
                </c:pt>
                <c:pt idx="1">
                  <c:v>5951006.2800000003</c:v>
                </c:pt>
                <c:pt idx="2">
                  <c:v>13238235.239999998</c:v>
                </c:pt>
                <c:pt idx="3">
                  <c:v>13238235.239999998</c:v>
                </c:pt>
                <c:pt idx="4">
                  <c:v>13238235.239999998</c:v>
                </c:pt>
                <c:pt idx="5">
                  <c:v>13238235.239999998</c:v>
                </c:pt>
                <c:pt idx="6">
                  <c:v>13238235.239999998</c:v>
                </c:pt>
                <c:pt idx="7">
                  <c:v>13238235.239999998</c:v>
                </c:pt>
                <c:pt idx="8">
                  <c:v>13238235.239999998</c:v>
                </c:pt>
                <c:pt idx="9">
                  <c:v>14664787.789999999</c:v>
                </c:pt>
                <c:pt idx="10">
                  <c:v>16120201.109999999</c:v>
                </c:pt>
                <c:pt idx="11">
                  <c:v>30104455.289999999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5-4085-A566-ED82B2DFFB29}"/>
            </c:ext>
          </c:extLst>
        </c:ser>
        <c:ser>
          <c:idx val="1"/>
          <c:order val="1"/>
          <c:tx>
            <c:v>skutečnost 2019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(kum)'!$H$8:$H$19</c:f>
              <c:numCache>
                <c:formatCode>#\ ##0_ ;\-#\ ##0\ </c:formatCode>
                <c:ptCount val="12"/>
                <c:pt idx="0">
                  <c:v>4799314.12</c:v>
                </c:pt>
                <c:pt idx="1">
                  <c:v>7373566.7800000003</c:v>
                </c:pt>
                <c:pt idx="2">
                  <c:v>12922660.310000001</c:v>
                </c:pt>
                <c:pt idx="3">
                  <c:v>12922660.310000001</c:v>
                </c:pt>
                <c:pt idx="4">
                  <c:v>12922660.310000001</c:v>
                </c:pt>
                <c:pt idx="5">
                  <c:v>12922660.310000001</c:v>
                </c:pt>
                <c:pt idx="6">
                  <c:v>23824448.609999999</c:v>
                </c:pt>
                <c:pt idx="7">
                  <c:v>23824448.609999999</c:v>
                </c:pt>
                <c:pt idx="8">
                  <c:v>30647190.300000001</c:v>
                </c:pt>
                <c:pt idx="9">
                  <c:v>35546582.870000005</c:v>
                </c:pt>
                <c:pt idx="10">
                  <c:v>37725635.130000003</c:v>
                </c:pt>
                <c:pt idx="11">
                  <c:v>54276767.850000001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5-4085-A566-ED82B2DFF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246912"/>
        <c:axId val="236039552"/>
      </c:lineChart>
      <c:catAx>
        <c:axId val="23024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6039552"/>
        <c:crosses val="autoZero"/>
        <c:auto val="1"/>
        <c:lblAlgn val="ctr"/>
        <c:lblOffset val="100"/>
        <c:noMultiLvlLbl val="0"/>
      </c:catAx>
      <c:valAx>
        <c:axId val="236039552"/>
        <c:scaling>
          <c:orientation val="minMax"/>
          <c:max val="56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246912"/>
        <c:crosses val="autoZero"/>
        <c:crossBetween val="between"/>
        <c:majorUnit val="8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Sdílené daně</a:t>
            </a:r>
            <a:r>
              <a:rPr lang="cs-CZ" sz="1800" b="1" baseline="0">
                <a:solidFill>
                  <a:srgbClr val="000000"/>
                </a:solidFill>
              </a:rPr>
              <a:t> města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2020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(kum)'!$H$28:$H$39</c:f>
              <c:numCache>
                <c:formatCode>#\ ##0_ ;\-#\ ##0\ </c:formatCode>
                <c:ptCount val="12"/>
                <c:pt idx="0">
                  <c:v>591083770.95000005</c:v>
                </c:pt>
                <c:pt idx="1">
                  <c:v>1226149276.3699999</c:v>
                </c:pt>
                <c:pt idx="2">
                  <c:v>1934342917.45</c:v>
                </c:pt>
                <c:pt idx="3">
                  <c:v>2355380655.4099998</c:v>
                </c:pt>
                <c:pt idx="4">
                  <c:v>2718231313.5599999</c:v>
                </c:pt>
                <c:pt idx="5">
                  <c:v>3186259167.8499999</c:v>
                </c:pt>
                <c:pt idx="6">
                  <c:v>3907380904.0100002</c:v>
                </c:pt>
                <c:pt idx="7">
                  <c:v>4511003132.8999996</c:v>
                </c:pt>
                <c:pt idx="8">
                  <c:v>5241886669.6399994</c:v>
                </c:pt>
                <c:pt idx="9">
                  <c:v>5795205785.1599998</c:v>
                </c:pt>
                <c:pt idx="10">
                  <c:v>6435707469.46</c:v>
                </c:pt>
                <c:pt idx="11">
                  <c:v>7295949432.6299992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2-4046-954A-FC46B20FDB13}"/>
            </c:ext>
          </c:extLst>
        </c:ser>
        <c:ser>
          <c:idx val="1"/>
          <c:order val="1"/>
          <c:tx>
            <c:v>skutečnost 2019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(kum)'!$H$28:$H$39</c:f>
              <c:numCache>
                <c:formatCode>#\ ##0_ ;\-#\ ##0\ </c:formatCode>
                <c:ptCount val="12"/>
                <c:pt idx="0">
                  <c:v>643360163.25999999</c:v>
                </c:pt>
                <c:pt idx="1">
                  <c:v>1239506895.01</c:v>
                </c:pt>
                <c:pt idx="2">
                  <c:v>1871535057.25</c:v>
                </c:pt>
                <c:pt idx="3">
                  <c:v>2351344225.0100002</c:v>
                </c:pt>
                <c:pt idx="4">
                  <c:v>2926427263.6300001</c:v>
                </c:pt>
                <c:pt idx="5">
                  <c:v>3651946915.8299999</c:v>
                </c:pt>
                <c:pt idx="6">
                  <c:v>4539095144.0699997</c:v>
                </c:pt>
                <c:pt idx="7">
                  <c:v>5132088436.6399994</c:v>
                </c:pt>
                <c:pt idx="8">
                  <c:v>5725886862.8199997</c:v>
                </c:pt>
                <c:pt idx="9">
                  <c:v>6345340539.2799997</c:v>
                </c:pt>
                <c:pt idx="10">
                  <c:v>6974474496.8099995</c:v>
                </c:pt>
                <c:pt idx="11">
                  <c:v>7846036640.2800007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2-4046-954A-FC46B20FD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44064"/>
        <c:axId val="236041280"/>
      </c:lineChart>
      <c:catAx>
        <c:axId val="23874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6041280"/>
        <c:crosses val="autoZero"/>
        <c:auto val="1"/>
        <c:lblAlgn val="ctr"/>
        <c:lblOffset val="100"/>
        <c:noMultiLvlLbl val="0"/>
      </c:catAx>
      <c:valAx>
        <c:axId val="23604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8744064"/>
        <c:crosses val="autoZero"/>
        <c:crossBetween val="between"/>
        <c:majorUnit val="1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'2021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(měs)'!$B$28:$B$39</c:f>
              <c:numCache>
                <c:formatCode>#\ ##0_ ;\-#\ ##0\ </c:formatCode>
                <c:ptCount val="12"/>
                <c:pt idx="0">
                  <c:v>81834799.829999998</c:v>
                </c:pt>
                <c:pt idx="1">
                  <c:v>12199505.42</c:v>
                </c:pt>
                <c:pt idx="2">
                  <c:v>314342749.03000003</c:v>
                </c:pt>
                <c:pt idx="3">
                  <c:v>86677429.63000001</c:v>
                </c:pt>
                <c:pt idx="4">
                  <c:v>14648015.859999999</c:v>
                </c:pt>
                <c:pt idx="5">
                  <c:v>363365952.23000002</c:v>
                </c:pt>
                <c:pt idx="6">
                  <c:v>413459856.82999998</c:v>
                </c:pt>
                <c:pt idx="7">
                  <c:v>0</c:v>
                </c:pt>
                <c:pt idx="8">
                  <c:v>263994552.93000001</c:v>
                </c:pt>
                <c:pt idx="9">
                  <c:v>60516881.009999998</c:v>
                </c:pt>
                <c:pt idx="10">
                  <c:v>9513833.5399999991</c:v>
                </c:pt>
                <c:pt idx="11">
                  <c:v>334478038.56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9-43F2-9542-BFADC3918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596416"/>
        <c:axId val="288618688"/>
      </c:lineChart>
      <c:catAx>
        <c:axId val="28959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618688"/>
        <c:crosses val="autoZero"/>
        <c:auto val="1"/>
        <c:lblAlgn val="ctr"/>
        <c:lblOffset val="100"/>
        <c:noMultiLvlLbl val="0"/>
      </c:catAx>
      <c:valAx>
        <c:axId val="288618688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596416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(měs)'!$E$28:$E$39</c:f>
              <c:numCache>
                <c:formatCode>#\ ##0_ ;\-#\ ##0\ </c:formatCode>
                <c:ptCount val="12"/>
                <c:pt idx="0">
                  <c:v>339298940.76999998</c:v>
                </c:pt>
                <c:pt idx="1">
                  <c:v>443556322.52000004</c:v>
                </c:pt>
                <c:pt idx="2">
                  <c:v>172465589.19</c:v>
                </c:pt>
                <c:pt idx="3">
                  <c:v>261685164.47</c:v>
                </c:pt>
                <c:pt idx="4">
                  <c:v>434703525.30000001</c:v>
                </c:pt>
                <c:pt idx="5">
                  <c:v>310635630.85000002</c:v>
                </c:pt>
                <c:pt idx="6">
                  <c:v>374235468.61000001</c:v>
                </c:pt>
                <c:pt idx="7">
                  <c:v>470903444.30000001</c:v>
                </c:pt>
                <c:pt idx="8">
                  <c:v>287100700.80000001</c:v>
                </c:pt>
                <c:pt idx="9">
                  <c:v>345527238.18000001</c:v>
                </c:pt>
                <c:pt idx="10">
                  <c:v>494041773.40999997</c:v>
                </c:pt>
                <c:pt idx="11">
                  <c:v>439155478.29000002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7-4F4E-95D7-1EA1A5305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6704"/>
        <c:axId val="289300480"/>
      </c:lineChart>
      <c:catAx>
        <c:axId val="28845670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0480"/>
        <c:crosses val="autoZero"/>
        <c:auto val="1"/>
        <c:lblAlgn val="ctr"/>
        <c:lblOffset val="100"/>
        <c:noMultiLvlLbl val="0"/>
      </c:catAx>
      <c:valAx>
        <c:axId val="289300480"/>
        <c:scaling>
          <c:orientation val="minMax"/>
          <c:max val="56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6704"/>
        <c:crosses val="autoZero"/>
        <c:crossBetween val="between"/>
        <c:majorUnit val="8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1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20626406926406926"/>
          <c:w val="0.81108523592085235"/>
          <c:h val="0.6263008658008655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(měs)'!$E$8:$E$19</c:f>
              <c:numCache>
                <c:formatCode>#\ ##0_ ;\-#\ ##0\ </c:formatCode>
                <c:ptCount val="12"/>
                <c:pt idx="0">
                  <c:v>10969721</c:v>
                </c:pt>
                <c:pt idx="1">
                  <c:v>7666204</c:v>
                </c:pt>
                <c:pt idx="2">
                  <c:v>5878676</c:v>
                </c:pt>
                <c:pt idx="3">
                  <c:v>4839490</c:v>
                </c:pt>
                <c:pt idx="4">
                  <c:v>5642928</c:v>
                </c:pt>
                <c:pt idx="5">
                  <c:v>7209862</c:v>
                </c:pt>
                <c:pt idx="6">
                  <c:v>6947030</c:v>
                </c:pt>
                <c:pt idx="7">
                  <c:v>7678934</c:v>
                </c:pt>
                <c:pt idx="8">
                  <c:v>2612384</c:v>
                </c:pt>
                <c:pt idx="9">
                  <c:v>5504400</c:v>
                </c:pt>
                <c:pt idx="10">
                  <c:v>6699895</c:v>
                </c:pt>
                <c:pt idx="11">
                  <c:v>6391864.25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0-4F1D-9237-BA2E2604C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24736"/>
        <c:axId val="221285184"/>
      </c:lineChart>
      <c:catAx>
        <c:axId val="21432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128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285184"/>
        <c:scaling>
          <c:orientation val="minMax"/>
          <c:max val="12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14324736"/>
        <c:crosses val="autoZero"/>
        <c:crossBetween val="between"/>
        <c:majorUnit val="2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095" footer="0.49212598450000095"/>
    <c:pageSetup orientation="portrait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Daň z příjmů </a:t>
            </a:r>
            <a:r>
              <a:rPr lang="cs-CZ" sz="1800"/>
              <a:t>FO</a:t>
            </a:r>
            <a:r>
              <a:rPr lang="en-US" sz="1800"/>
              <a:t>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(měs)'!$B$8:$B$19</c:f>
              <c:numCache>
                <c:formatCode>#\ ##0_ ;\-#\ ##0\ </c:formatCode>
                <c:ptCount val="12"/>
                <c:pt idx="0">
                  <c:v>199772286.56</c:v>
                </c:pt>
                <c:pt idx="1">
                  <c:v>120056607.46000001</c:v>
                </c:pt>
                <c:pt idx="2">
                  <c:v>81467731.420000002</c:v>
                </c:pt>
                <c:pt idx="3">
                  <c:v>24764866.880000003</c:v>
                </c:pt>
                <c:pt idx="4">
                  <c:v>58778892.370000005</c:v>
                </c:pt>
                <c:pt idx="5">
                  <c:v>104183829.91999999</c:v>
                </c:pt>
                <c:pt idx="6">
                  <c:v>123514873.94</c:v>
                </c:pt>
                <c:pt idx="7">
                  <c:v>117374735.00999999</c:v>
                </c:pt>
                <c:pt idx="8">
                  <c:v>115941248.59</c:v>
                </c:pt>
                <c:pt idx="9">
                  <c:v>123191068.21000001</c:v>
                </c:pt>
                <c:pt idx="10">
                  <c:v>119585440.28999999</c:v>
                </c:pt>
                <c:pt idx="11">
                  <c:v>150284193.12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1-4034-8BD0-AE5F4BEA4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7728"/>
        <c:axId val="289302208"/>
      </c:lineChart>
      <c:catAx>
        <c:axId val="28845772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2208"/>
        <c:crosses val="autoZero"/>
        <c:auto val="1"/>
        <c:lblAlgn val="ctr"/>
        <c:lblOffset val="100"/>
        <c:noMultiLvlLbl val="0"/>
      </c:catAx>
      <c:valAx>
        <c:axId val="2893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7728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51181102362204722" l="0.51181102362204722" r="0.51181102362204722" t="0.51181102362204722" header="0.31496062992125984" footer="0.31496062992125984"/>
    <c:pageSetup orientation="portrait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Daň z příjmů FO placená plátci</a:t>
            </a:r>
            <a:r>
              <a:rPr lang="en-US" sz="1500"/>
              <a:t> </a:t>
            </a:r>
            <a:r>
              <a:rPr lang="en-US" sz="1200"/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(měs)'!$E$8:$E$19</c:f>
              <c:numCache>
                <c:formatCode>#\ ##0_ ;\-#\ ##0\ </c:formatCode>
                <c:ptCount val="12"/>
                <c:pt idx="0">
                  <c:v>12899930.41</c:v>
                </c:pt>
                <c:pt idx="1">
                  <c:v>7505830.4900000002</c:v>
                </c:pt>
                <c:pt idx="2">
                  <c:v>5093288.88</c:v>
                </c:pt>
                <c:pt idx="3">
                  <c:v>1548277.08</c:v>
                </c:pt>
                <c:pt idx="4">
                  <c:v>3674803.15</c:v>
                </c:pt>
                <c:pt idx="5">
                  <c:v>6513478.8100000005</c:v>
                </c:pt>
                <c:pt idx="6">
                  <c:v>7722038.1699999999</c:v>
                </c:pt>
                <c:pt idx="7">
                  <c:v>7338162.2599999998</c:v>
                </c:pt>
                <c:pt idx="8">
                  <c:v>6831343.5500000007</c:v>
                </c:pt>
                <c:pt idx="9">
                  <c:v>7643215.7199999997</c:v>
                </c:pt>
                <c:pt idx="10">
                  <c:v>7419509.6799999997</c:v>
                </c:pt>
                <c:pt idx="11">
                  <c:v>9324170.3999999985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5-4B90-AA0A-7E5131307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8240"/>
        <c:axId val="289303936"/>
      </c:lineChart>
      <c:catAx>
        <c:axId val="28845824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3936"/>
        <c:crosses val="autoZero"/>
        <c:auto val="1"/>
        <c:lblAlgn val="ctr"/>
        <c:lblOffset val="100"/>
        <c:noMultiLvlLbl val="0"/>
      </c:catAx>
      <c:valAx>
        <c:axId val="289303936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82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(měs)'!$K$8:$K$19</c:f>
              <c:numCache>
                <c:formatCode>#\ ##0_ ;\-#\ ##0\ </c:formatCode>
                <c:ptCount val="12"/>
                <c:pt idx="0">
                  <c:v>17357372.329999998</c:v>
                </c:pt>
                <c:pt idx="1">
                  <c:v>18777302.259999998</c:v>
                </c:pt>
                <c:pt idx="2">
                  <c:v>13058543.49</c:v>
                </c:pt>
                <c:pt idx="3">
                  <c:v>15549369.440000001</c:v>
                </c:pt>
                <c:pt idx="4">
                  <c:v>15704892.880000001</c:v>
                </c:pt>
                <c:pt idx="5">
                  <c:v>21698908.879999999</c:v>
                </c:pt>
                <c:pt idx="6">
                  <c:v>23528111.800000001</c:v>
                </c:pt>
                <c:pt idx="7">
                  <c:v>20084625.649999999</c:v>
                </c:pt>
                <c:pt idx="8">
                  <c:v>26823685.18</c:v>
                </c:pt>
                <c:pt idx="9">
                  <c:v>21147482.490000002</c:v>
                </c:pt>
                <c:pt idx="10">
                  <c:v>18179981.629999999</c:v>
                </c:pt>
                <c:pt idx="11">
                  <c:v>19816724.700000003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B-413F-9B39-41A2EC955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9264"/>
        <c:axId val="289305664"/>
      </c:lineChart>
      <c:catAx>
        <c:axId val="28845926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5664"/>
        <c:crosses val="autoZero"/>
        <c:auto val="1"/>
        <c:lblAlgn val="ctr"/>
        <c:lblOffset val="100"/>
        <c:noMultiLvlLbl val="0"/>
      </c:catAx>
      <c:valAx>
        <c:axId val="289305664"/>
        <c:scaling>
          <c:orientation val="minMax"/>
          <c:max val="28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9264"/>
        <c:crosses val="autoZero"/>
        <c:crossBetween val="between"/>
        <c:majorUnit val="4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(měs)'!$H$8:$H$19</c:f>
              <c:numCache>
                <c:formatCode>#\ ##0_ ;\-#\ ##0\ </c:formatCode>
                <c:ptCount val="12"/>
                <c:pt idx="0">
                  <c:v>4166693.01</c:v>
                </c:pt>
                <c:pt idx="1">
                  <c:v>4109856.08</c:v>
                </c:pt>
                <c:pt idx="2">
                  <c:v>13080477.879999999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11743751.530000001</c:v>
                </c:pt>
                <c:pt idx="7">
                  <c:v>0</c:v>
                </c:pt>
                <c:pt idx="8">
                  <c:v>15352783.66</c:v>
                </c:pt>
                <c:pt idx="9">
                  <c:v>7086933.3799999999</c:v>
                </c:pt>
                <c:pt idx="10">
                  <c:v>5747141.8700000001</c:v>
                </c:pt>
                <c:pt idx="11">
                  <c:v>28058764.800000001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4-4A2E-8B77-9F3846CB1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60288"/>
        <c:axId val="289307392"/>
      </c:lineChart>
      <c:catAx>
        <c:axId val="2884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7392"/>
        <c:crosses val="autoZero"/>
        <c:auto val="1"/>
        <c:lblAlgn val="ctr"/>
        <c:lblOffset val="100"/>
        <c:noMultiLvlLbl val="0"/>
      </c:catAx>
      <c:valAx>
        <c:axId val="289307392"/>
        <c:scaling>
          <c:orientation val="minMax"/>
          <c:max val="35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60288"/>
        <c:crosses val="autoZero"/>
        <c:crossBetween val="between"/>
        <c:majorUnit val="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</a:t>
            </a:r>
            <a:r>
              <a:rPr lang="cs-CZ"/>
              <a:t>21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2021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(měs)'!$H$28:$H$39</c:f>
              <c:numCache>
                <c:formatCode>#\ ##0_ ;\-#\ ##0\ </c:formatCode>
                <c:ptCount val="12"/>
                <c:pt idx="0">
                  <c:v>655330022.90999997</c:v>
                </c:pt>
                <c:pt idx="1">
                  <c:v>606205424.23000002</c:v>
                </c:pt>
                <c:pt idx="2">
                  <c:v>599508379.8900001</c:v>
                </c:pt>
                <c:pt idx="3">
                  <c:v>390225107.5</c:v>
                </c:pt>
                <c:pt idx="4">
                  <c:v>527510129.56</c:v>
                </c:pt>
                <c:pt idx="5">
                  <c:v>806397800.69000006</c:v>
                </c:pt>
                <c:pt idx="6">
                  <c:v>954204100.88</c:v>
                </c:pt>
                <c:pt idx="7">
                  <c:v>615700967.22000003</c:v>
                </c:pt>
                <c:pt idx="8">
                  <c:v>716044314.71000004</c:v>
                </c:pt>
                <c:pt idx="9">
                  <c:v>565112818.99000001</c:v>
                </c:pt>
                <c:pt idx="10">
                  <c:v>654487680.41999996</c:v>
                </c:pt>
                <c:pt idx="11">
                  <c:v>981117369.87000012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4-401D-99B0-893A1B129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1632"/>
        <c:axId val="290226752"/>
      </c:lineChart>
      <c:catAx>
        <c:axId val="290181632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6752"/>
        <c:crosses val="autoZero"/>
        <c:auto val="1"/>
        <c:lblAlgn val="ctr"/>
        <c:lblOffset val="100"/>
        <c:noMultiLvlLbl val="0"/>
      </c:catAx>
      <c:valAx>
        <c:axId val="290226752"/>
        <c:scaling>
          <c:orientation val="minMax"/>
          <c:max val="10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1632"/>
        <c:crosses val="autoZero"/>
        <c:crossBetween val="between"/>
        <c:majorUnit val="1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(kum)'!$B$28:$B$39</c:f>
              <c:numCache>
                <c:formatCode>#\ ##0_ ;\-#\ ##0\ </c:formatCode>
                <c:ptCount val="12"/>
                <c:pt idx="0">
                  <c:v>81834799.829999998</c:v>
                </c:pt>
                <c:pt idx="1">
                  <c:v>94034305.25</c:v>
                </c:pt>
                <c:pt idx="2">
                  <c:v>408377054.28000003</c:v>
                </c:pt>
                <c:pt idx="3">
                  <c:v>495054483.91000003</c:v>
                </c:pt>
                <c:pt idx="4">
                  <c:v>509702499.77000004</c:v>
                </c:pt>
                <c:pt idx="5">
                  <c:v>873068452</c:v>
                </c:pt>
                <c:pt idx="6">
                  <c:v>1286528308.8299999</c:v>
                </c:pt>
                <c:pt idx="7">
                  <c:v>1286528308.8299999</c:v>
                </c:pt>
                <c:pt idx="8">
                  <c:v>1550522861.76</c:v>
                </c:pt>
                <c:pt idx="9">
                  <c:v>1611039742.77</c:v>
                </c:pt>
                <c:pt idx="10">
                  <c:v>1620553576.3099999</c:v>
                </c:pt>
                <c:pt idx="11">
                  <c:v>1955031614.8699999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4-4D0E-9774-8BBD54F2B923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(kum)'!$C$28:$C$39</c:f>
              <c:numCache>
                <c:formatCode>#\ ##0_ ;\-#\ ##0\ </c:formatCode>
                <c:ptCount val="12"/>
                <c:pt idx="0">
                  <c:v>151061000</c:v>
                </c:pt>
                <c:pt idx="1">
                  <c:v>302122000</c:v>
                </c:pt>
                <c:pt idx="2">
                  <c:v>453183000</c:v>
                </c:pt>
                <c:pt idx="3">
                  <c:v>604244000</c:v>
                </c:pt>
                <c:pt idx="4">
                  <c:v>755305000</c:v>
                </c:pt>
                <c:pt idx="5">
                  <c:v>906366000</c:v>
                </c:pt>
                <c:pt idx="6">
                  <c:v>1057427000</c:v>
                </c:pt>
                <c:pt idx="7">
                  <c:v>1208488000</c:v>
                </c:pt>
                <c:pt idx="8">
                  <c:v>1359549000</c:v>
                </c:pt>
                <c:pt idx="9">
                  <c:v>1510610000</c:v>
                </c:pt>
                <c:pt idx="10">
                  <c:v>1661671000</c:v>
                </c:pt>
                <c:pt idx="11">
                  <c:v>1812732000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4-4D0E-9774-8BBD54F2B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2000"/>
        <c:axId val="290228480"/>
      </c:lineChart>
      <c:catAx>
        <c:axId val="2897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8480"/>
        <c:crosses val="autoZero"/>
        <c:auto val="1"/>
        <c:lblAlgn val="ctr"/>
        <c:lblOffset val="100"/>
        <c:noMultiLvlLbl val="0"/>
      </c:catAx>
      <c:valAx>
        <c:axId val="290228480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2000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25159642401023"/>
          <c:y val="0.29018359390705828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5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(kum)'!$B$8:$B$19</c:f>
              <c:numCache>
                <c:formatCode>#\ ##0_ ;\-#\ ##0\ </c:formatCode>
                <c:ptCount val="12"/>
                <c:pt idx="0">
                  <c:v>199772286.56</c:v>
                </c:pt>
                <c:pt idx="1">
                  <c:v>319828894.01999998</c:v>
                </c:pt>
                <c:pt idx="2">
                  <c:v>401296625.44</c:v>
                </c:pt>
                <c:pt idx="3">
                  <c:v>426061492.31999999</c:v>
                </c:pt>
                <c:pt idx="4">
                  <c:v>484840384.69</c:v>
                </c:pt>
                <c:pt idx="5">
                  <c:v>589024214.61000001</c:v>
                </c:pt>
                <c:pt idx="6">
                  <c:v>712539088.54999995</c:v>
                </c:pt>
                <c:pt idx="7">
                  <c:v>829913823.55999994</c:v>
                </c:pt>
                <c:pt idx="8">
                  <c:v>945855072.14999998</c:v>
                </c:pt>
                <c:pt idx="9">
                  <c:v>1069046140.36</c:v>
                </c:pt>
                <c:pt idx="10">
                  <c:v>1188631580.6500001</c:v>
                </c:pt>
                <c:pt idx="11">
                  <c:v>1338915773.77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1-4739-BFF4-664F2777FCE8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(kum)'!$C$8:$C$19</c:f>
              <c:numCache>
                <c:formatCode>#\ ##0_ ;\-#\ ##0\ </c:formatCode>
                <c:ptCount val="12"/>
                <c:pt idx="0">
                  <c:v>111506083.33333333</c:v>
                </c:pt>
                <c:pt idx="1">
                  <c:v>223012166.66666666</c:v>
                </c:pt>
                <c:pt idx="2">
                  <c:v>334518250</c:v>
                </c:pt>
                <c:pt idx="3">
                  <c:v>446024333.33333331</c:v>
                </c:pt>
                <c:pt idx="4">
                  <c:v>557530416.66666663</c:v>
                </c:pt>
                <c:pt idx="5">
                  <c:v>669036500</c:v>
                </c:pt>
                <c:pt idx="6">
                  <c:v>780542583.33333325</c:v>
                </c:pt>
                <c:pt idx="7">
                  <c:v>892048666.66666663</c:v>
                </c:pt>
                <c:pt idx="8">
                  <c:v>1003554750</c:v>
                </c:pt>
                <c:pt idx="9">
                  <c:v>1115060833.3333333</c:v>
                </c:pt>
                <c:pt idx="10">
                  <c:v>1226566916.6666665</c:v>
                </c:pt>
                <c:pt idx="11">
                  <c:v>1338073000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1-4739-BFF4-664F2777F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4192"/>
        <c:axId val="290230208"/>
      </c:lineChart>
      <c:catAx>
        <c:axId val="290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0208"/>
        <c:crosses val="autoZero"/>
        <c:auto val="1"/>
        <c:lblAlgn val="ctr"/>
        <c:lblOffset val="100"/>
        <c:noMultiLvlLbl val="0"/>
      </c:catAx>
      <c:valAx>
        <c:axId val="290230208"/>
        <c:scaling>
          <c:orientation val="minMax"/>
          <c:max val="14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4192"/>
        <c:crosses val="autoZero"/>
        <c:crossBetween val="between"/>
        <c:majorUnit val="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862981207808794"/>
          <c:y val="0.28568043397817372"/>
          <c:w val="0.38633643495712461"/>
          <c:h val="8.72279976754697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(kum)'!$E$28:$E$39</c:f>
              <c:numCache>
                <c:formatCode>#\ ##0_ ;\-#\ ##0\ </c:formatCode>
                <c:ptCount val="12"/>
                <c:pt idx="0">
                  <c:v>339298940.76999998</c:v>
                </c:pt>
                <c:pt idx="1">
                  <c:v>782855263.28999996</c:v>
                </c:pt>
                <c:pt idx="2">
                  <c:v>955320852.48000002</c:v>
                </c:pt>
                <c:pt idx="3">
                  <c:v>1217006016.95</c:v>
                </c:pt>
                <c:pt idx="4">
                  <c:v>1651709542.25</c:v>
                </c:pt>
                <c:pt idx="5">
                  <c:v>1962345173.0999999</c:v>
                </c:pt>
                <c:pt idx="6">
                  <c:v>2336580641.71</c:v>
                </c:pt>
                <c:pt idx="7">
                  <c:v>2807484086.0100002</c:v>
                </c:pt>
                <c:pt idx="8">
                  <c:v>3094584786.8100004</c:v>
                </c:pt>
                <c:pt idx="9">
                  <c:v>3440112024.9900002</c:v>
                </c:pt>
                <c:pt idx="10">
                  <c:v>3934153798.4000001</c:v>
                </c:pt>
                <c:pt idx="11">
                  <c:v>4373309276.6900005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4-4D3B-8C61-56568D601AFB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(kum)'!$F$28:$F$39</c:f>
              <c:numCache>
                <c:formatCode>#\ ##0_ ;\-#\ ##0\ </c:formatCode>
                <c:ptCount val="12"/>
                <c:pt idx="0">
                  <c:v>346383916.66666669</c:v>
                </c:pt>
                <c:pt idx="1">
                  <c:v>692767833.33333337</c:v>
                </c:pt>
                <c:pt idx="2">
                  <c:v>1039151750</c:v>
                </c:pt>
                <c:pt idx="3">
                  <c:v>1385535666.6666667</c:v>
                </c:pt>
                <c:pt idx="4">
                  <c:v>1731919583.3333335</c:v>
                </c:pt>
                <c:pt idx="5">
                  <c:v>2078303500</c:v>
                </c:pt>
                <c:pt idx="6">
                  <c:v>2424687416.666667</c:v>
                </c:pt>
                <c:pt idx="7">
                  <c:v>2771071333.3333335</c:v>
                </c:pt>
                <c:pt idx="8">
                  <c:v>3117455250</c:v>
                </c:pt>
                <c:pt idx="9">
                  <c:v>3463839166.666667</c:v>
                </c:pt>
                <c:pt idx="10">
                  <c:v>3810223083.3333335</c:v>
                </c:pt>
                <c:pt idx="11">
                  <c:v>4156607000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4-4D3B-8C61-56568D601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3536"/>
        <c:axId val="290231936"/>
      </c:lineChart>
      <c:catAx>
        <c:axId val="2897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1936"/>
        <c:crosses val="autoZero"/>
        <c:auto val="1"/>
        <c:lblAlgn val="ctr"/>
        <c:lblOffset val="100"/>
        <c:noMultiLvlLbl val="0"/>
      </c:catAx>
      <c:valAx>
        <c:axId val="290231936"/>
        <c:scaling>
          <c:orientation val="minMax"/>
          <c:max val="49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3536"/>
        <c:crosses val="autoZero"/>
        <c:crossBetween val="between"/>
        <c:majorUnit val="7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83707352672871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</a:t>
            </a:r>
            <a:r>
              <a:rPr lang="cs-CZ" sz="1500" b="1">
                <a:solidFill>
                  <a:srgbClr val="000000"/>
                </a:solidFill>
              </a:rPr>
              <a:t>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(kum)'!$E$8:$E$19</c:f>
              <c:numCache>
                <c:formatCode>#\ ##0_ ;\-#\ ##0\ </c:formatCode>
                <c:ptCount val="12"/>
                <c:pt idx="0">
                  <c:v>12899930.41</c:v>
                </c:pt>
                <c:pt idx="1">
                  <c:v>20405760.899999999</c:v>
                </c:pt>
                <c:pt idx="2">
                  <c:v>25499049.779999997</c:v>
                </c:pt>
                <c:pt idx="3">
                  <c:v>27047326.859999999</c:v>
                </c:pt>
                <c:pt idx="4">
                  <c:v>30722130.009999998</c:v>
                </c:pt>
                <c:pt idx="5">
                  <c:v>37235608.82</c:v>
                </c:pt>
                <c:pt idx="6">
                  <c:v>44957646.990000002</c:v>
                </c:pt>
                <c:pt idx="7">
                  <c:v>52295809.25</c:v>
                </c:pt>
                <c:pt idx="8">
                  <c:v>59127152.799999997</c:v>
                </c:pt>
                <c:pt idx="9">
                  <c:v>66770368.519999996</c:v>
                </c:pt>
                <c:pt idx="10">
                  <c:v>74189878.199999988</c:v>
                </c:pt>
                <c:pt idx="11">
                  <c:v>83514048.599999994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9-4021-B067-1BCB3373DB65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(kum)'!$F$8:$F$19</c:f>
              <c:numCache>
                <c:formatCode>#\ ##0_ ;\-#\ ##0\ </c:formatCode>
                <c:ptCount val="12"/>
                <c:pt idx="0">
                  <c:v>7638333.333333333</c:v>
                </c:pt>
                <c:pt idx="1">
                  <c:v>15276666.666666666</c:v>
                </c:pt>
                <c:pt idx="2">
                  <c:v>22915000</c:v>
                </c:pt>
                <c:pt idx="3">
                  <c:v>30553333.333333332</c:v>
                </c:pt>
                <c:pt idx="4">
                  <c:v>38191666.666666664</c:v>
                </c:pt>
                <c:pt idx="5">
                  <c:v>45830000</c:v>
                </c:pt>
                <c:pt idx="6">
                  <c:v>53468333.333333328</c:v>
                </c:pt>
                <c:pt idx="7">
                  <c:v>61106666.666666664</c:v>
                </c:pt>
                <c:pt idx="8">
                  <c:v>68745000</c:v>
                </c:pt>
                <c:pt idx="9">
                  <c:v>76383333.333333328</c:v>
                </c:pt>
                <c:pt idx="10">
                  <c:v>84021666.666666657</c:v>
                </c:pt>
                <c:pt idx="11">
                  <c:v>91660000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9-4021-B067-1BCB3373D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4560"/>
        <c:axId val="290233664"/>
      </c:lineChart>
      <c:catAx>
        <c:axId val="2897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3664"/>
        <c:crosses val="autoZero"/>
        <c:auto val="1"/>
        <c:lblAlgn val="ctr"/>
        <c:lblOffset val="100"/>
        <c:noMultiLvlLbl val="0"/>
      </c:catAx>
      <c:valAx>
        <c:axId val="290233664"/>
        <c:scaling>
          <c:orientation val="minMax"/>
          <c:max val="105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4560"/>
        <c:crosses val="autoZero"/>
        <c:crossBetween val="between"/>
        <c:majorUnit val="1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14796569968983"/>
          <c:y val="0.27570575938044983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(kum)'!$K$8:$K$19</c:f>
              <c:numCache>
                <c:formatCode>#\ ##0_ ;\-#\ ##0\ </c:formatCode>
                <c:ptCount val="12"/>
                <c:pt idx="0">
                  <c:v>17357372.329999998</c:v>
                </c:pt>
                <c:pt idx="1">
                  <c:v>36134674.589999996</c:v>
                </c:pt>
                <c:pt idx="2">
                  <c:v>49193218.079999998</c:v>
                </c:pt>
                <c:pt idx="3">
                  <c:v>64742587.519999996</c:v>
                </c:pt>
                <c:pt idx="4">
                  <c:v>80447480.399999991</c:v>
                </c:pt>
                <c:pt idx="5">
                  <c:v>102146389.27999999</c:v>
                </c:pt>
                <c:pt idx="6">
                  <c:v>125674501.07999998</c:v>
                </c:pt>
                <c:pt idx="7">
                  <c:v>145759126.72999999</c:v>
                </c:pt>
                <c:pt idx="8">
                  <c:v>172582811.91</c:v>
                </c:pt>
                <c:pt idx="9">
                  <c:v>193730294.40000001</c:v>
                </c:pt>
                <c:pt idx="10">
                  <c:v>211910276.03</c:v>
                </c:pt>
                <c:pt idx="11">
                  <c:v>231727000.73000002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7-4485-9FEC-033D77839AF8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(kum)'!$L$8:$L$19</c:f>
              <c:numCache>
                <c:formatCode>#\ ##0_ ;\-#\ ##0\ </c:formatCode>
                <c:ptCount val="12"/>
                <c:pt idx="0">
                  <c:v>15160250</c:v>
                </c:pt>
                <c:pt idx="1">
                  <c:v>30320500</c:v>
                </c:pt>
                <c:pt idx="2">
                  <c:v>45480750</c:v>
                </c:pt>
                <c:pt idx="3">
                  <c:v>60641000</c:v>
                </c:pt>
                <c:pt idx="4">
                  <c:v>75801250</c:v>
                </c:pt>
                <c:pt idx="5">
                  <c:v>90961500</c:v>
                </c:pt>
                <c:pt idx="6">
                  <c:v>106121750</c:v>
                </c:pt>
                <c:pt idx="7">
                  <c:v>121282000</c:v>
                </c:pt>
                <c:pt idx="8">
                  <c:v>136442250</c:v>
                </c:pt>
                <c:pt idx="9">
                  <c:v>151602500</c:v>
                </c:pt>
                <c:pt idx="10">
                  <c:v>166762750</c:v>
                </c:pt>
                <c:pt idx="11">
                  <c:v>181923000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7-4485-9FEC-033D77839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5584"/>
        <c:axId val="290489472"/>
      </c:lineChart>
      <c:catAx>
        <c:axId val="2897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89472"/>
        <c:crosses val="autoZero"/>
        <c:auto val="1"/>
        <c:lblAlgn val="ctr"/>
        <c:lblOffset val="100"/>
        <c:noMultiLvlLbl val="0"/>
      </c:catAx>
      <c:valAx>
        <c:axId val="290489472"/>
        <c:scaling>
          <c:orientation val="minMax"/>
          <c:max val="28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5584"/>
        <c:crosses val="autoZero"/>
        <c:crossBetween val="between"/>
        <c:majorUnit val="4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45885787265097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1"/>
          <c:y val="0.24001948051948138"/>
          <c:w val="0.78669351101309615"/>
          <c:h val="0.5897745310245309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(měs)'!$B$28:$B$39</c:f>
              <c:numCache>
                <c:formatCode>#\ ##0_ ;\-#\ ##0\ </c:formatCode>
                <c:ptCount val="12"/>
                <c:pt idx="0">
                  <c:v>10745147</c:v>
                </c:pt>
                <c:pt idx="1">
                  <c:v>22771885</c:v>
                </c:pt>
                <c:pt idx="2">
                  <c:v>6988087</c:v>
                </c:pt>
                <c:pt idx="3">
                  <c:v>7354122</c:v>
                </c:pt>
                <c:pt idx="4">
                  <c:v>9911803</c:v>
                </c:pt>
                <c:pt idx="5">
                  <c:v>8327154</c:v>
                </c:pt>
                <c:pt idx="6">
                  <c:v>11293521</c:v>
                </c:pt>
                <c:pt idx="7">
                  <c:v>12996167</c:v>
                </c:pt>
                <c:pt idx="8">
                  <c:v>10742448</c:v>
                </c:pt>
                <c:pt idx="9">
                  <c:v>9404543</c:v>
                </c:pt>
                <c:pt idx="10">
                  <c:v>11025622</c:v>
                </c:pt>
                <c:pt idx="11">
                  <c:v>7898766.1099999994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8-40F7-9EB7-83E0E43A8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25760"/>
        <c:axId val="221286912"/>
      </c:lineChart>
      <c:catAx>
        <c:axId val="2143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128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286912"/>
        <c:scaling>
          <c:orientation val="minMax"/>
          <c:max val="24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14325760"/>
        <c:crosses val="autoZero"/>
        <c:crossBetween val="between"/>
        <c:majorUnit val="4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(kum)'!$H$8:$H$19</c:f>
              <c:numCache>
                <c:formatCode>#\ ##0_ ;\-#\ ##0\ </c:formatCode>
                <c:ptCount val="12"/>
                <c:pt idx="0">
                  <c:v>4166693.01</c:v>
                </c:pt>
                <c:pt idx="1">
                  <c:v>8276549.0899999999</c:v>
                </c:pt>
                <c:pt idx="2">
                  <c:v>21357026.969999999</c:v>
                </c:pt>
                <c:pt idx="3">
                  <c:v>21357026.969999999</c:v>
                </c:pt>
                <c:pt idx="4">
                  <c:v>21357026.969999999</c:v>
                </c:pt>
                <c:pt idx="5">
                  <c:v>21357026.969999999</c:v>
                </c:pt>
                <c:pt idx="6">
                  <c:v>33100778.5</c:v>
                </c:pt>
                <c:pt idx="7">
                  <c:v>33100778.5</c:v>
                </c:pt>
                <c:pt idx="8">
                  <c:v>48453562.159999996</c:v>
                </c:pt>
                <c:pt idx="9">
                  <c:v>55540495.539999999</c:v>
                </c:pt>
                <c:pt idx="10">
                  <c:v>61287637.409999996</c:v>
                </c:pt>
                <c:pt idx="11">
                  <c:v>89346402.209999993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D-452D-B3CA-89EFEA930EEF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(kum)'!$I$8:$I$19</c:f>
              <c:numCache>
                <c:formatCode>#\ ##0_ ;\-#\ ##0\ </c:formatCode>
                <c:ptCount val="12"/>
                <c:pt idx="0">
                  <c:v>1528250</c:v>
                </c:pt>
                <c:pt idx="1">
                  <c:v>3056500</c:v>
                </c:pt>
                <c:pt idx="2">
                  <c:v>4584750</c:v>
                </c:pt>
                <c:pt idx="3">
                  <c:v>6113000</c:v>
                </c:pt>
                <c:pt idx="4">
                  <c:v>7641250</c:v>
                </c:pt>
                <c:pt idx="5">
                  <c:v>9169500</c:v>
                </c:pt>
                <c:pt idx="6">
                  <c:v>10697750</c:v>
                </c:pt>
                <c:pt idx="7">
                  <c:v>12226000</c:v>
                </c:pt>
                <c:pt idx="8">
                  <c:v>13754250</c:v>
                </c:pt>
                <c:pt idx="9">
                  <c:v>15282500</c:v>
                </c:pt>
                <c:pt idx="10">
                  <c:v>16810750</c:v>
                </c:pt>
                <c:pt idx="11">
                  <c:v>18339000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D-452D-B3CA-89EFEA930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8800"/>
        <c:axId val="290491200"/>
      </c:lineChart>
      <c:catAx>
        <c:axId val="290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1200"/>
        <c:crosses val="autoZero"/>
        <c:auto val="1"/>
        <c:lblAlgn val="ctr"/>
        <c:lblOffset val="100"/>
        <c:noMultiLvlLbl val="0"/>
      </c:catAx>
      <c:valAx>
        <c:axId val="290491200"/>
        <c:scaling>
          <c:orientation val="minMax"/>
          <c:max val="98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8800"/>
        <c:crosses val="autoZero"/>
        <c:crossBetween val="between"/>
        <c:majorUnit val="14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66611932129175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2021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(kum)'!$H$28:$H$39</c:f>
              <c:numCache>
                <c:formatCode>#\ ##0_ ;\-#\ ##0\ </c:formatCode>
                <c:ptCount val="12"/>
                <c:pt idx="0">
                  <c:v>655330022.90999997</c:v>
                </c:pt>
                <c:pt idx="1">
                  <c:v>1261535447.1399999</c:v>
                </c:pt>
                <c:pt idx="2">
                  <c:v>1861043827.03</c:v>
                </c:pt>
                <c:pt idx="3">
                  <c:v>2251268934.5299997</c:v>
                </c:pt>
                <c:pt idx="4">
                  <c:v>2778779064.0900002</c:v>
                </c:pt>
                <c:pt idx="5">
                  <c:v>3585176864.7799997</c:v>
                </c:pt>
                <c:pt idx="6">
                  <c:v>4539380965.6599998</c:v>
                </c:pt>
                <c:pt idx="7">
                  <c:v>5155081932.8800001</c:v>
                </c:pt>
                <c:pt idx="8">
                  <c:v>5871126247.5900002</c:v>
                </c:pt>
                <c:pt idx="9">
                  <c:v>6436239066.5799999</c:v>
                </c:pt>
                <c:pt idx="10">
                  <c:v>7090726747</c:v>
                </c:pt>
                <c:pt idx="11">
                  <c:v>8071844116.8700008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6-4673-A2E7-59FD3A9C13C0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(kum)'!$I$28:$I$39</c:f>
              <c:numCache>
                <c:formatCode>#\ ##0_ ;\-#\ ##0\ </c:formatCode>
                <c:ptCount val="12"/>
                <c:pt idx="0">
                  <c:v>633277833.33333337</c:v>
                </c:pt>
                <c:pt idx="1">
                  <c:v>1266555666.6666667</c:v>
                </c:pt>
                <c:pt idx="2">
                  <c:v>1899833500</c:v>
                </c:pt>
                <c:pt idx="3">
                  <c:v>2533111333.3333335</c:v>
                </c:pt>
                <c:pt idx="4">
                  <c:v>3166389166.666667</c:v>
                </c:pt>
                <c:pt idx="5">
                  <c:v>3799667000</c:v>
                </c:pt>
                <c:pt idx="6">
                  <c:v>4432944833.333334</c:v>
                </c:pt>
                <c:pt idx="7">
                  <c:v>5066222666.666667</c:v>
                </c:pt>
                <c:pt idx="8">
                  <c:v>5699500500</c:v>
                </c:pt>
                <c:pt idx="9">
                  <c:v>6332778333.333334</c:v>
                </c:pt>
                <c:pt idx="10">
                  <c:v>6966056166.666667</c:v>
                </c:pt>
                <c:pt idx="11">
                  <c:v>7599334000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6-4673-A2E7-59FD3A9C1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9824"/>
        <c:axId val="290492928"/>
      </c:lineChart>
      <c:catAx>
        <c:axId val="2908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2928"/>
        <c:crosses val="autoZero"/>
        <c:auto val="1"/>
        <c:lblAlgn val="ctr"/>
        <c:lblOffset val="100"/>
        <c:noMultiLvlLbl val="0"/>
      </c:catAx>
      <c:valAx>
        <c:axId val="290492928"/>
        <c:scaling>
          <c:orientation val="minMax"/>
          <c:max val="84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9824"/>
        <c:crosses val="autoZero"/>
        <c:crossBetween val="between"/>
        <c:majorUnit val="1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152618135376754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2021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(kum)'!$B$28:$B$39</c:f>
              <c:numCache>
                <c:formatCode>#\ ##0_ ;\-#\ ##0\ </c:formatCode>
                <c:ptCount val="12"/>
                <c:pt idx="0">
                  <c:v>81834799.829999998</c:v>
                </c:pt>
                <c:pt idx="1">
                  <c:v>94034305.25</c:v>
                </c:pt>
                <c:pt idx="2">
                  <c:v>408377054.28000003</c:v>
                </c:pt>
                <c:pt idx="3">
                  <c:v>495054483.91000003</c:v>
                </c:pt>
                <c:pt idx="4">
                  <c:v>509702499.77000004</c:v>
                </c:pt>
                <c:pt idx="5">
                  <c:v>873068452</c:v>
                </c:pt>
                <c:pt idx="6">
                  <c:v>1286528308.8299999</c:v>
                </c:pt>
                <c:pt idx="7">
                  <c:v>1286528308.8299999</c:v>
                </c:pt>
                <c:pt idx="8">
                  <c:v>1550522861.76</c:v>
                </c:pt>
                <c:pt idx="9">
                  <c:v>1611039742.77</c:v>
                </c:pt>
                <c:pt idx="10">
                  <c:v>1620553576.3099999</c:v>
                </c:pt>
                <c:pt idx="11">
                  <c:v>1955031614.8699999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5-48E6-B79E-2A9827101046}"/>
            </c:ext>
          </c:extLst>
        </c:ser>
        <c:ser>
          <c:idx val="1"/>
          <c:order val="1"/>
          <c:tx>
            <c:v>skutečnost 2020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(kum)'!$B$28:$B$39</c:f>
              <c:numCache>
                <c:formatCode>#\ ##0_ ;\-#\ ##0\ </c:formatCode>
                <c:ptCount val="12"/>
                <c:pt idx="0">
                  <c:v>36309188.350000001</c:v>
                </c:pt>
                <c:pt idx="1">
                  <c:v>50830433.43</c:v>
                </c:pt>
                <c:pt idx="2">
                  <c:v>354690825.84999996</c:v>
                </c:pt>
                <c:pt idx="3">
                  <c:v>407431492.01999998</c:v>
                </c:pt>
                <c:pt idx="4">
                  <c:v>407431492.01999998</c:v>
                </c:pt>
                <c:pt idx="5">
                  <c:v>534700852.94</c:v>
                </c:pt>
                <c:pt idx="6">
                  <c:v>768076237.64999998</c:v>
                </c:pt>
                <c:pt idx="7">
                  <c:v>768076237.64999998</c:v>
                </c:pt>
                <c:pt idx="8">
                  <c:v>1019777452.45</c:v>
                </c:pt>
                <c:pt idx="9">
                  <c:v>1078926850.3900001</c:v>
                </c:pt>
                <c:pt idx="10">
                  <c:v>1093546718.3900001</c:v>
                </c:pt>
                <c:pt idx="11">
                  <c:v>1374322595.1600001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5-48E6-B79E-2A9827101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91456"/>
        <c:axId val="290494656"/>
      </c:lineChart>
      <c:catAx>
        <c:axId val="2206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4656"/>
        <c:crosses val="autoZero"/>
        <c:auto val="1"/>
        <c:lblAlgn val="ctr"/>
        <c:lblOffset val="100"/>
        <c:noMultiLvlLbl val="0"/>
      </c:catAx>
      <c:valAx>
        <c:axId val="290494656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91456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68076081007112"/>
          <c:y val="0.29490540056212627"/>
          <c:w val="0.32086161284437148"/>
          <c:h val="0.154934827306509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2021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(kum)'!$B$8:$B$19</c:f>
              <c:numCache>
                <c:formatCode>#\ ##0_ ;\-#\ ##0\ </c:formatCode>
                <c:ptCount val="12"/>
                <c:pt idx="0">
                  <c:v>199772286.56</c:v>
                </c:pt>
                <c:pt idx="1">
                  <c:v>319828894.01999998</c:v>
                </c:pt>
                <c:pt idx="2">
                  <c:v>401296625.44</c:v>
                </c:pt>
                <c:pt idx="3">
                  <c:v>426061492.31999999</c:v>
                </c:pt>
                <c:pt idx="4">
                  <c:v>484840384.69</c:v>
                </c:pt>
                <c:pt idx="5">
                  <c:v>589024214.61000001</c:v>
                </c:pt>
                <c:pt idx="6">
                  <c:v>712539088.54999995</c:v>
                </c:pt>
                <c:pt idx="7">
                  <c:v>829913823.55999994</c:v>
                </c:pt>
                <c:pt idx="8">
                  <c:v>945855072.14999998</c:v>
                </c:pt>
                <c:pt idx="9">
                  <c:v>1069046140.36</c:v>
                </c:pt>
                <c:pt idx="10">
                  <c:v>1188631580.6500001</c:v>
                </c:pt>
                <c:pt idx="11">
                  <c:v>1338915773.77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7-48BA-BDA1-F0CEA719FF41}"/>
            </c:ext>
          </c:extLst>
        </c:ser>
        <c:ser>
          <c:idx val="1"/>
          <c:order val="1"/>
          <c:tx>
            <c:v>skutečnost 2020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(kum)'!$B$8:$B$19</c:f>
              <c:numCache>
                <c:formatCode>#\ ##0_ ;\-#\ ##0\ </c:formatCode>
                <c:ptCount val="12"/>
                <c:pt idx="0">
                  <c:v>183037499.32999998</c:v>
                </c:pt>
                <c:pt idx="1">
                  <c:v>352252951.84999996</c:v>
                </c:pt>
                <c:pt idx="2">
                  <c:v>508037435.28999996</c:v>
                </c:pt>
                <c:pt idx="3">
                  <c:v>637137412.81999993</c:v>
                </c:pt>
                <c:pt idx="4">
                  <c:v>669489173.75999999</c:v>
                </c:pt>
                <c:pt idx="5">
                  <c:v>780797652.86000001</c:v>
                </c:pt>
                <c:pt idx="6">
                  <c:v>943851799.58000004</c:v>
                </c:pt>
                <c:pt idx="7">
                  <c:v>1112902064.03</c:v>
                </c:pt>
                <c:pt idx="8">
                  <c:v>1274133629.76</c:v>
                </c:pt>
                <c:pt idx="9">
                  <c:v>1445775630.9000001</c:v>
                </c:pt>
                <c:pt idx="10">
                  <c:v>1615307671.4300001</c:v>
                </c:pt>
                <c:pt idx="11">
                  <c:v>1813194043.7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7-48BA-BDA1-F0CEA719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8272"/>
        <c:axId val="290955264"/>
      </c:lineChart>
      <c:catAx>
        <c:axId val="22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5264"/>
        <c:crosses val="autoZero"/>
        <c:auto val="1"/>
        <c:lblAlgn val="ctr"/>
        <c:lblOffset val="100"/>
        <c:noMultiLvlLbl val="0"/>
      </c:catAx>
      <c:valAx>
        <c:axId val="290955264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8272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88802225871192"/>
          <c:y val="0.28535757713938287"/>
          <c:w val="0.32086161284437148"/>
          <c:h val="0.1693087855297157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2021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(kum)'!$E$28:$E$39</c:f>
              <c:numCache>
                <c:formatCode>#\ ##0_ ;\-#\ ##0\ </c:formatCode>
                <c:ptCount val="12"/>
                <c:pt idx="0">
                  <c:v>339298940.76999998</c:v>
                </c:pt>
                <c:pt idx="1">
                  <c:v>782855263.28999996</c:v>
                </c:pt>
                <c:pt idx="2">
                  <c:v>955320852.48000002</c:v>
                </c:pt>
                <c:pt idx="3">
                  <c:v>1217006016.95</c:v>
                </c:pt>
                <c:pt idx="4">
                  <c:v>1651709542.25</c:v>
                </c:pt>
                <c:pt idx="5">
                  <c:v>1962345173.0999999</c:v>
                </c:pt>
                <c:pt idx="6">
                  <c:v>2336580641.71</c:v>
                </c:pt>
                <c:pt idx="7">
                  <c:v>2807484086.0100002</c:v>
                </c:pt>
                <c:pt idx="8">
                  <c:v>3094584786.8100004</c:v>
                </c:pt>
                <c:pt idx="9">
                  <c:v>3440112024.9900002</c:v>
                </c:pt>
                <c:pt idx="10">
                  <c:v>3934153798.4000001</c:v>
                </c:pt>
                <c:pt idx="11">
                  <c:v>4373309276.6900005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8-4B60-837C-8A0AEDC445D3}"/>
            </c:ext>
          </c:extLst>
        </c:ser>
        <c:ser>
          <c:idx val="1"/>
          <c:order val="1"/>
          <c:tx>
            <c:v>skutečnost 2020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(kum)'!$E$28:$E$39</c:f>
              <c:numCache>
                <c:formatCode>#\ ##0_ ;\-#\ ##0\ </c:formatCode>
                <c:ptCount val="12"/>
                <c:pt idx="0">
                  <c:v>341127569.38</c:v>
                </c:pt>
                <c:pt idx="1">
                  <c:v>761341915.70000005</c:v>
                </c:pt>
                <c:pt idx="2">
                  <c:v>980164409.43000007</c:v>
                </c:pt>
                <c:pt idx="3">
                  <c:v>1199194353.78</c:v>
                </c:pt>
                <c:pt idx="4">
                  <c:v>1514805291.55</c:v>
                </c:pt>
                <c:pt idx="5">
                  <c:v>1722089280.5899999</c:v>
                </c:pt>
                <c:pt idx="6">
                  <c:v>2018534244.6299999</c:v>
                </c:pt>
                <c:pt idx="7">
                  <c:v>2424434456.7399998</c:v>
                </c:pt>
                <c:pt idx="8">
                  <c:v>2711699074.6799998</c:v>
                </c:pt>
                <c:pt idx="9">
                  <c:v>3004201860.3099999</c:v>
                </c:pt>
                <c:pt idx="10">
                  <c:v>3431637295.0900002</c:v>
                </c:pt>
                <c:pt idx="11">
                  <c:v>3770485099.27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8-4B60-837C-8A0AEDC44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296"/>
        <c:axId val="290956992"/>
      </c:lineChart>
      <c:catAx>
        <c:axId val="220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6992"/>
        <c:crosses val="autoZero"/>
        <c:auto val="1"/>
        <c:lblAlgn val="ctr"/>
        <c:lblOffset val="100"/>
        <c:noMultiLvlLbl val="0"/>
      </c:catAx>
      <c:valAx>
        <c:axId val="290956992"/>
        <c:scaling>
          <c:orientation val="minMax"/>
          <c:max val="49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296"/>
        <c:crosses val="autoZero"/>
        <c:crossBetween val="between"/>
        <c:majorUnit val="7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36986863711003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2021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(kum)'!$E$8:$E$19</c:f>
              <c:numCache>
                <c:formatCode>#\ ##0_ ;\-#\ ##0\ </c:formatCode>
                <c:ptCount val="12"/>
                <c:pt idx="0">
                  <c:v>12899930.41</c:v>
                </c:pt>
                <c:pt idx="1">
                  <c:v>20405760.899999999</c:v>
                </c:pt>
                <c:pt idx="2">
                  <c:v>25499049.779999997</c:v>
                </c:pt>
                <c:pt idx="3">
                  <c:v>27047326.859999999</c:v>
                </c:pt>
                <c:pt idx="4">
                  <c:v>30722130.009999998</c:v>
                </c:pt>
                <c:pt idx="5">
                  <c:v>37235608.82</c:v>
                </c:pt>
                <c:pt idx="6">
                  <c:v>44957646.990000002</c:v>
                </c:pt>
                <c:pt idx="7">
                  <c:v>52295809.25</c:v>
                </c:pt>
                <c:pt idx="8">
                  <c:v>59127152.799999997</c:v>
                </c:pt>
                <c:pt idx="9">
                  <c:v>66770368.519999996</c:v>
                </c:pt>
                <c:pt idx="10">
                  <c:v>74189878.199999988</c:v>
                </c:pt>
                <c:pt idx="11">
                  <c:v>83514048.599999994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D-42E5-944C-572AF4BD5077}"/>
            </c:ext>
          </c:extLst>
        </c:ser>
        <c:ser>
          <c:idx val="1"/>
          <c:order val="1"/>
          <c:tx>
            <c:v>skutečnost 2020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(kum)'!$E$8:$E$19</c:f>
              <c:numCache>
                <c:formatCode>#\ ##0_ ;\-#\ ##0\ </c:formatCode>
                <c:ptCount val="12"/>
                <c:pt idx="0">
                  <c:v>12493363.52</c:v>
                </c:pt>
                <c:pt idx="1">
                  <c:v>24043292.84</c:v>
                </c:pt>
                <c:pt idx="2">
                  <c:v>34676481.140000001</c:v>
                </c:pt>
                <c:pt idx="3">
                  <c:v>43488298.200000003</c:v>
                </c:pt>
                <c:pt idx="4">
                  <c:v>45696492.230000004</c:v>
                </c:pt>
                <c:pt idx="5">
                  <c:v>53293937.050000004</c:v>
                </c:pt>
                <c:pt idx="6">
                  <c:v>64423321.740000002</c:v>
                </c:pt>
                <c:pt idx="7">
                  <c:v>75961976.020000011</c:v>
                </c:pt>
                <c:pt idx="8">
                  <c:v>87274576.560000002</c:v>
                </c:pt>
                <c:pt idx="9">
                  <c:v>99033971.120000005</c:v>
                </c:pt>
                <c:pt idx="10">
                  <c:v>110648809.84</c:v>
                </c:pt>
                <c:pt idx="11">
                  <c:v>124206237.03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D-42E5-944C-572AF4BD5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808"/>
        <c:axId val="290958720"/>
      </c:lineChart>
      <c:catAx>
        <c:axId val="2205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8720"/>
        <c:crosses val="autoZero"/>
        <c:auto val="1"/>
        <c:lblAlgn val="ctr"/>
        <c:lblOffset val="100"/>
        <c:noMultiLvlLbl val="0"/>
      </c:catAx>
      <c:valAx>
        <c:axId val="29095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80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7570565435476518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2021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(kum)'!$K$8:$K$19</c:f>
              <c:numCache>
                <c:formatCode>#\ ##0_ ;\-#\ ##0\ </c:formatCode>
                <c:ptCount val="12"/>
                <c:pt idx="0">
                  <c:v>17357372.329999998</c:v>
                </c:pt>
                <c:pt idx="1">
                  <c:v>36134674.589999996</c:v>
                </c:pt>
                <c:pt idx="2">
                  <c:v>49193218.079999998</c:v>
                </c:pt>
                <c:pt idx="3">
                  <c:v>64742587.519999996</c:v>
                </c:pt>
                <c:pt idx="4">
                  <c:v>80447480.399999991</c:v>
                </c:pt>
                <c:pt idx="5">
                  <c:v>102146389.27999999</c:v>
                </c:pt>
                <c:pt idx="6">
                  <c:v>125674501.07999998</c:v>
                </c:pt>
                <c:pt idx="7">
                  <c:v>145759126.72999999</c:v>
                </c:pt>
                <c:pt idx="8">
                  <c:v>172582811.91</c:v>
                </c:pt>
                <c:pt idx="9">
                  <c:v>193730294.40000001</c:v>
                </c:pt>
                <c:pt idx="10">
                  <c:v>211910276.03</c:v>
                </c:pt>
                <c:pt idx="11">
                  <c:v>231727000.73000002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9-430A-9EB3-4CCEAD26F2E2}"/>
            </c:ext>
          </c:extLst>
        </c:ser>
        <c:ser>
          <c:idx val="1"/>
          <c:order val="1"/>
          <c:tx>
            <c:v>skutečnost 2020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(kum)'!$K$8:$K$19</c:f>
              <c:numCache>
                <c:formatCode>#\ ##0_ ;\-#\ ##0\ </c:formatCode>
                <c:ptCount val="12"/>
                <c:pt idx="0">
                  <c:v>14595793.41</c:v>
                </c:pt>
                <c:pt idx="1">
                  <c:v>31729676.27</c:v>
                </c:pt>
                <c:pt idx="2">
                  <c:v>43535530.5</c:v>
                </c:pt>
                <c:pt idx="3">
                  <c:v>54890863.350000001</c:v>
                </c:pt>
                <c:pt idx="4">
                  <c:v>67570628.760000005</c:v>
                </c:pt>
                <c:pt idx="5">
                  <c:v>82139209.170000002</c:v>
                </c:pt>
                <c:pt idx="6">
                  <c:v>99257065.170000002</c:v>
                </c:pt>
                <c:pt idx="7">
                  <c:v>116390163.22</c:v>
                </c:pt>
                <c:pt idx="8">
                  <c:v>135763700.94999999</c:v>
                </c:pt>
                <c:pt idx="9">
                  <c:v>152602684.64999998</c:v>
                </c:pt>
                <c:pt idx="10">
                  <c:v>168446773.59999996</c:v>
                </c:pt>
                <c:pt idx="11">
                  <c:v>183637002.17999998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9-430A-9EB3-4CCEAD26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01856"/>
        <c:axId val="290960448"/>
      </c:lineChart>
      <c:catAx>
        <c:axId val="2206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0448"/>
        <c:crosses val="autoZero"/>
        <c:auto val="1"/>
        <c:lblAlgn val="ctr"/>
        <c:lblOffset val="100"/>
        <c:noMultiLvlLbl val="0"/>
      </c:catAx>
      <c:valAx>
        <c:axId val="290960448"/>
        <c:scaling>
          <c:orientation val="minMax"/>
          <c:max val="28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01856"/>
        <c:crosses val="autoZero"/>
        <c:crossBetween val="between"/>
        <c:majorUnit val="4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09528370735266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2021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(kum)'!$H$8:$H$19</c:f>
              <c:numCache>
                <c:formatCode>#\ ##0_ ;\-#\ ##0\ </c:formatCode>
                <c:ptCount val="12"/>
                <c:pt idx="0">
                  <c:v>4166693.01</c:v>
                </c:pt>
                <c:pt idx="1">
                  <c:v>8276549.0899999999</c:v>
                </c:pt>
                <c:pt idx="2">
                  <c:v>21357026.969999999</c:v>
                </c:pt>
                <c:pt idx="3">
                  <c:v>21357026.969999999</c:v>
                </c:pt>
                <c:pt idx="4">
                  <c:v>21357026.969999999</c:v>
                </c:pt>
                <c:pt idx="5">
                  <c:v>21357026.969999999</c:v>
                </c:pt>
                <c:pt idx="6">
                  <c:v>33100778.5</c:v>
                </c:pt>
                <c:pt idx="7">
                  <c:v>33100778.5</c:v>
                </c:pt>
                <c:pt idx="8">
                  <c:v>48453562.159999996</c:v>
                </c:pt>
                <c:pt idx="9">
                  <c:v>55540495.539999999</c:v>
                </c:pt>
                <c:pt idx="10">
                  <c:v>61287637.409999996</c:v>
                </c:pt>
                <c:pt idx="11">
                  <c:v>89346402.209999993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0-46E6-9908-1FAC4BF0C676}"/>
            </c:ext>
          </c:extLst>
        </c:ser>
        <c:ser>
          <c:idx val="1"/>
          <c:order val="1"/>
          <c:tx>
            <c:v>skutečnost 2020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(kum)'!$H$8:$H$19</c:f>
              <c:numCache>
                <c:formatCode>#\ ##0_ ;\-#\ ##0\ </c:formatCode>
                <c:ptCount val="12"/>
                <c:pt idx="0">
                  <c:v>3520356.96</c:v>
                </c:pt>
                <c:pt idx="1">
                  <c:v>5951006.2800000003</c:v>
                </c:pt>
                <c:pt idx="2">
                  <c:v>13238235.239999998</c:v>
                </c:pt>
                <c:pt idx="3">
                  <c:v>13238235.239999998</c:v>
                </c:pt>
                <c:pt idx="4">
                  <c:v>13238235.239999998</c:v>
                </c:pt>
                <c:pt idx="5">
                  <c:v>13238235.239999998</c:v>
                </c:pt>
                <c:pt idx="6">
                  <c:v>13238235.239999998</c:v>
                </c:pt>
                <c:pt idx="7">
                  <c:v>13238235.239999998</c:v>
                </c:pt>
                <c:pt idx="8">
                  <c:v>13238235.239999998</c:v>
                </c:pt>
                <c:pt idx="9">
                  <c:v>14664787.789999999</c:v>
                </c:pt>
                <c:pt idx="10">
                  <c:v>16120201.109999999</c:v>
                </c:pt>
                <c:pt idx="11">
                  <c:v>30104455.289999999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0-46E6-9908-1FAC4BF0C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0496"/>
        <c:axId val="290962176"/>
      </c:lineChart>
      <c:catAx>
        <c:axId val="2907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2176"/>
        <c:crosses val="autoZero"/>
        <c:auto val="1"/>
        <c:lblAlgn val="ctr"/>
        <c:lblOffset val="100"/>
        <c:noMultiLvlLbl val="0"/>
      </c:catAx>
      <c:valAx>
        <c:axId val="290962176"/>
        <c:scaling>
          <c:orientation val="minMax"/>
          <c:max val="98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0496"/>
        <c:crosses val="autoZero"/>
        <c:crossBetween val="between"/>
        <c:majorUnit val="14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50980660463418"/>
          <c:y val="0.28535757713938287"/>
          <c:w val="0.31796524356869182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Sdílené daně</a:t>
            </a:r>
            <a:r>
              <a:rPr lang="cs-CZ" sz="1800" b="1" baseline="0">
                <a:solidFill>
                  <a:srgbClr val="000000"/>
                </a:solidFill>
              </a:rPr>
              <a:t> města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2021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(kum)'!$H$28:$H$39</c:f>
              <c:numCache>
                <c:formatCode>#\ ##0_ ;\-#\ ##0\ </c:formatCode>
                <c:ptCount val="12"/>
                <c:pt idx="0">
                  <c:v>655330022.90999997</c:v>
                </c:pt>
                <c:pt idx="1">
                  <c:v>1261535447.1399999</c:v>
                </c:pt>
                <c:pt idx="2">
                  <c:v>1861043827.03</c:v>
                </c:pt>
                <c:pt idx="3">
                  <c:v>2251268934.5299997</c:v>
                </c:pt>
                <c:pt idx="4">
                  <c:v>2778779064.0900002</c:v>
                </c:pt>
                <c:pt idx="5">
                  <c:v>3585176864.7799997</c:v>
                </c:pt>
                <c:pt idx="6">
                  <c:v>4539380965.6599998</c:v>
                </c:pt>
                <c:pt idx="7">
                  <c:v>5155081932.8800001</c:v>
                </c:pt>
                <c:pt idx="8">
                  <c:v>5871126247.5900002</c:v>
                </c:pt>
                <c:pt idx="9">
                  <c:v>6436239066.5799999</c:v>
                </c:pt>
                <c:pt idx="10">
                  <c:v>7090726747</c:v>
                </c:pt>
                <c:pt idx="11">
                  <c:v>8071844116.8700008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B-49D6-A527-632661C8557C}"/>
            </c:ext>
          </c:extLst>
        </c:ser>
        <c:ser>
          <c:idx val="1"/>
          <c:order val="1"/>
          <c:tx>
            <c:v>skutečnost 2020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(kum)'!$H$28:$H$39</c:f>
              <c:numCache>
                <c:formatCode>#\ ##0_ ;\-#\ ##0\ </c:formatCode>
                <c:ptCount val="12"/>
                <c:pt idx="0">
                  <c:v>591083770.95000005</c:v>
                </c:pt>
                <c:pt idx="1">
                  <c:v>1226149276.3699999</c:v>
                </c:pt>
                <c:pt idx="2">
                  <c:v>1934342917.45</c:v>
                </c:pt>
                <c:pt idx="3">
                  <c:v>2355380655.4099998</c:v>
                </c:pt>
                <c:pt idx="4">
                  <c:v>2718231313.5599999</c:v>
                </c:pt>
                <c:pt idx="5">
                  <c:v>3186259167.8499999</c:v>
                </c:pt>
                <c:pt idx="6">
                  <c:v>3907380904.0100002</c:v>
                </c:pt>
                <c:pt idx="7">
                  <c:v>4511003132.8999996</c:v>
                </c:pt>
                <c:pt idx="8">
                  <c:v>5241886669.6399994</c:v>
                </c:pt>
                <c:pt idx="9">
                  <c:v>5795205785.1599998</c:v>
                </c:pt>
                <c:pt idx="10">
                  <c:v>6435707469.46</c:v>
                </c:pt>
                <c:pt idx="11">
                  <c:v>7295949432.6299992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B-49D6-A527-632661C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2032"/>
        <c:axId val="291660352"/>
      </c:lineChart>
      <c:catAx>
        <c:axId val="2907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1660352"/>
        <c:crosses val="autoZero"/>
        <c:auto val="1"/>
        <c:lblAlgn val="ctr"/>
        <c:lblOffset val="100"/>
        <c:noMultiLvlLbl val="0"/>
      </c:catAx>
      <c:valAx>
        <c:axId val="291660352"/>
        <c:scaling>
          <c:orientation val="minMax"/>
          <c:max val="84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2032"/>
        <c:crosses val="autoZero"/>
        <c:crossBetween val="between"/>
        <c:majorUnit val="1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8535757713938287"/>
          <c:w val="0.32086161284437148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'2022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(měs)'!$B$28:$B$39</c:f>
              <c:numCache>
                <c:formatCode>#\ ##0_ ;\-#\ ##0\ </c:formatCode>
                <c:ptCount val="12"/>
                <c:pt idx="0">
                  <c:v>46010065.100000001</c:v>
                </c:pt>
                <c:pt idx="1">
                  <c:v>16235712.719999999</c:v>
                </c:pt>
                <c:pt idx="2">
                  <c:v>325749039.32999998</c:v>
                </c:pt>
                <c:pt idx="3">
                  <c:v>86353663.849999994</c:v>
                </c:pt>
                <c:pt idx="4">
                  <c:v>44828663.789999999</c:v>
                </c:pt>
                <c:pt idx="5">
                  <c:v>354087847.23000002</c:v>
                </c:pt>
                <c:pt idx="6">
                  <c:v>549130259.65999997</c:v>
                </c:pt>
                <c:pt idx="7">
                  <c:v>0</c:v>
                </c:pt>
                <c:pt idx="8">
                  <c:v>348363871.19999999</c:v>
                </c:pt>
                <c:pt idx="9">
                  <c:v>65873947.880000003</c:v>
                </c:pt>
                <c:pt idx="10">
                  <c:v>6600879.3600000003</c:v>
                </c:pt>
                <c:pt idx="11">
                  <c:v>400617189.49000001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2-4791-B0CC-1D3556BD1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596416"/>
        <c:axId val="288618688"/>
      </c:lineChart>
      <c:catAx>
        <c:axId val="28959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618688"/>
        <c:crosses val="autoZero"/>
        <c:auto val="1"/>
        <c:lblAlgn val="ctr"/>
        <c:lblOffset val="100"/>
        <c:noMultiLvlLbl val="0"/>
      </c:catAx>
      <c:valAx>
        <c:axId val="288618688"/>
        <c:scaling>
          <c:orientation val="minMax"/>
          <c:max val="7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596416"/>
        <c:crosses val="autoZero"/>
        <c:crossBetween val="between"/>
        <c:majorUnit val="1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23590930388219622"/>
          <c:w val="0.8294133528901515"/>
          <c:h val="0.592323293172690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(měs)'!$H$8:$H$19</c:f>
              <c:numCache>
                <c:formatCode>#\ ##0_ ;\-#\ ##0\ </c:formatCode>
                <c:ptCount val="12"/>
                <c:pt idx="0">
                  <c:v>1640943.81</c:v>
                </c:pt>
                <c:pt idx="1">
                  <c:v>574541.01</c:v>
                </c:pt>
                <c:pt idx="2">
                  <c:v>582665.3600000001</c:v>
                </c:pt>
                <c:pt idx="3">
                  <c:v>16680</c:v>
                </c:pt>
                <c:pt idx="4">
                  <c:v>102559.95000000001</c:v>
                </c:pt>
                <c:pt idx="5">
                  <c:v>1225026.3799999999</c:v>
                </c:pt>
                <c:pt idx="6">
                  <c:v>1004423.86</c:v>
                </c:pt>
                <c:pt idx="7">
                  <c:v>617923.67000000004</c:v>
                </c:pt>
                <c:pt idx="8">
                  <c:v>4915292.08</c:v>
                </c:pt>
                <c:pt idx="9">
                  <c:v>1409147.4000000001</c:v>
                </c:pt>
                <c:pt idx="10">
                  <c:v>1697528.67</c:v>
                </c:pt>
                <c:pt idx="11">
                  <c:v>8901076.7400000002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6-4BB4-BF6A-AC8B8E4BF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26784"/>
        <c:axId val="221288640"/>
      </c:lineChart>
      <c:catAx>
        <c:axId val="21432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128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288640"/>
        <c:scaling>
          <c:orientation val="minMax"/>
          <c:max val="9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14326784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(měs)'!$E$28:$E$39</c:f>
              <c:numCache>
                <c:formatCode>#\ ##0_ ;\-#\ ##0\ </c:formatCode>
                <c:ptCount val="12"/>
                <c:pt idx="0">
                  <c:v>400740891.81999999</c:v>
                </c:pt>
                <c:pt idx="1">
                  <c:v>491911563.79999995</c:v>
                </c:pt>
                <c:pt idx="2">
                  <c:v>226972169.84</c:v>
                </c:pt>
                <c:pt idx="3">
                  <c:v>350419050.11000001</c:v>
                </c:pt>
                <c:pt idx="4">
                  <c:v>538314846.14999998</c:v>
                </c:pt>
                <c:pt idx="5">
                  <c:v>352175365.78000003</c:v>
                </c:pt>
                <c:pt idx="6">
                  <c:v>459375582.63</c:v>
                </c:pt>
                <c:pt idx="7">
                  <c:v>516763487.87</c:v>
                </c:pt>
                <c:pt idx="8">
                  <c:v>334725348.94999999</c:v>
                </c:pt>
                <c:pt idx="9">
                  <c:v>417596662.25</c:v>
                </c:pt>
                <c:pt idx="10">
                  <c:v>604857975.34000003</c:v>
                </c:pt>
                <c:pt idx="11">
                  <c:v>404815568.54999995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A-49C7-9891-C30C92BA1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6704"/>
        <c:axId val="289300480"/>
      </c:lineChart>
      <c:catAx>
        <c:axId val="28845670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0480"/>
        <c:crosses val="autoZero"/>
        <c:auto val="1"/>
        <c:lblAlgn val="ctr"/>
        <c:lblOffset val="100"/>
        <c:noMultiLvlLbl val="0"/>
      </c:catAx>
      <c:valAx>
        <c:axId val="289300480"/>
        <c:scaling>
          <c:orientation val="minMax"/>
          <c:max val="63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6704"/>
        <c:crosses val="autoZero"/>
        <c:crossBetween val="between"/>
        <c:majorUnit val="9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Daň z příjmů </a:t>
            </a:r>
            <a:r>
              <a:rPr lang="cs-CZ" sz="1800"/>
              <a:t>FO</a:t>
            </a:r>
            <a:r>
              <a:rPr lang="en-US" sz="1800"/>
              <a:t>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(měs)'!$B$8:$B$19</c:f>
              <c:numCache>
                <c:formatCode>#\ ##0_ ;\-#\ ##0\ </c:formatCode>
                <c:ptCount val="12"/>
                <c:pt idx="0">
                  <c:v>140979932.11000001</c:v>
                </c:pt>
                <c:pt idx="1">
                  <c:v>105073495.16</c:v>
                </c:pt>
                <c:pt idx="2">
                  <c:v>78246838.700000003</c:v>
                </c:pt>
                <c:pt idx="3">
                  <c:v>81268931.090000004</c:v>
                </c:pt>
                <c:pt idx="4">
                  <c:v>95091689.019999996</c:v>
                </c:pt>
                <c:pt idx="5">
                  <c:v>128112946.40000001</c:v>
                </c:pt>
                <c:pt idx="6">
                  <c:v>133769365.87</c:v>
                </c:pt>
                <c:pt idx="7">
                  <c:v>121579045.33</c:v>
                </c:pt>
                <c:pt idx="8">
                  <c:v>130533304.34</c:v>
                </c:pt>
                <c:pt idx="9">
                  <c:v>123271180.73</c:v>
                </c:pt>
                <c:pt idx="10">
                  <c:v>132959688.38</c:v>
                </c:pt>
                <c:pt idx="11">
                  <c:v>161219302.20999998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0-44C1-A98E-E1A51D71C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7728"/>
        <c:axId val="289302208"/>
      </c:lineChart>
      <c:catAx>
        <c:axId val="28845772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2208"/>
        <c:crosses val="autoZero"/>
        <c:auto val="1"/>
        <c:lblAlgn val="ctr"/>
        <c:lblOffset val="100"/>
        <c:noMultiLvlLbl val="0"/>
      </c:catAx>
      <c:valAx>
        <c:axId val="289302208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7728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51181102362204722" l="0.51181102362204722" r="0.51181102362204722" t="0.51181102362204722" header="0.31496062992125984" footer="0.31496062992125984"/>
    <c:pageSetup orientation="portrait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Daň z příjmů FO placená plátci</a:t>
            </a:r>
            <a:r>
              <a:rPr lang="en-US" sz="1500"/>
              <a:t> </a:t>
            </a:r>
            <a:r>
              <a:rPr lang="en-US" sz="1200"/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(měs)'!$E$8:$E$19</c:f>
              <c:numCache>
                <c:formatCode>#\ ##0_ ;\-#\ ##0\ </c:formatCode>
                <c:ptCount val="12"/>
                <c:pt idx="0">
                  <c:v>8746900.7100000009</c:v>
                </c:pt>
                <c:pt idx="1">
                  <c:v>6519136.5500000007</c:v>
                </c:pt>
                <c:pt idx="2">
                  <c:v>4854714.54</c:v>
                </c:pt>
                <c:pt idx="3">
                  <c:v>5042215.99</c:v>
                </c:pt>
                <c:pt idx="4">
                  <c:v>5899829.4499999993</c:v>
                </c:pt>
                <c:pt idx="5">
                  <c:v>7948586.75</c:v>
                </c:pt>
                <c:pt idx="6">
                  <c:v>8299531.2599999998</c:v>
                </c:pt>
                <c:pt idx="7">
                  <c:v>7543200.0700000003</c:v>
                </c:pt>
                <c:pt idx="8">
                  <c:v>7666189.6500000004</c:v>
                </c:pt>
                <c:pt idx="9">
                  <c:v>7592684.2700000005</c:v>
                </c:pt>
                <c:pt idx="10">
                  <c:v>8189431.8499999996</c:v>
                </c:pt>
                <c:pt idx="11">
                  <c:v>9930036.0199999996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F-49A3-8A1A-410645438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8240"/>
        <c:axId val="289303936"/>
      </c:lineChart>
      <c:catAx>
        <c:axId val="28845824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3936"/>
        <c:crosses val="autoZero"/>
        <c:auto val="1"/>
        <c:lblAlgn val="ctr"/>
        <c:lblOffset val="100"/>
        <c:noMultiLvlLbl val="0"/>
      </c:catAx>
      <c:valAx>
        <c:axId val="289303936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82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(měs)'!$K$8:$K$19</c:f>
              <c:numCache>
                <c:formatCode>#\ ##0_ ;\-#\ ##0\ </c:formatCode>
                <c:ptCount val="12"/>
                <c:pt idx="0">
                  <c:v>20064782.27</c:v>
                </c:pt>
                <c:pt idx="1">
                  <c:v>23639919.380000003</c:v>
                </c:pt>
                <c:pt idx="2">
                  <c:v>16175021.950000001</c:v>
                </c:pt>
                <c:pt idx="3">
                  <c:v>18910669.41</c:v>
                </c:pt>
                <c:pt idx="4">
                  <c:v>21410489.079999998</c:v>
                </c:pt>
                <c:pt idx="5">
                  <c:v>23438643.289999999</c:v>
                </c:pt>
                <c:pt idx="6">
                  <c:v>30180584.66</c:v>
                </c:pt>
                <c:pt idx="7">
                  <c:v>32148139.740000002</c:v>
                </c:pt>
                <c:pt idx="8">
                  <c:v>30509777.780000001</c:v>
                </c:pt>
                <c:pt idx="9">
                  <c:v>23780770.009999998</c:v>
                </c:pt>
                <c:pt idx="10">
                  <c:v>26170461.479999997</c:v>
                </c:pt>
                <c:pt idx="11">
                  <c:v>30371676.059999999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D-44B6-9958-AB42FCDF4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9264"/>
        <c:axId val="289305664"/>
      </c:lineChart>
      <c:catAx>
        <c:axId val="28845926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5664"/>
        <c:crosses val="autoZero"/>
        <c:auto val="1"/>
        <c:lblAlgn val="ctr"/>
        <c:lblOffset val="100"/>
        <c:noMultiLvlLbl val="0"/>
      </c:catAx>
      <c:valAx>
        <c:axId val="289305664"/>
        <c:scaling>
          <c:orientation val="minMax"/>
          <c:max val="35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9264"/>
        <c:crosses val="autoZero"/>
        <c:crossBetween val="between"/>
        <c:majorUnit val="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(měs)'!$H$8:$H$19</c:f>
              <c:numCache>
                <c:formatCode>#\ ##0_ ;\-#\ ##0\ </c:formatCode>
                <c:ptCount val="12"/>
                <c:pt idx="0">
                  <c:v>7376859.04</c:v>
                </c:pt>
                <c:pt idx="1">
                  <c:v>3585999.83</c:v>
                </c:pt>
                <c:pt idx="2">
                  <c:v>13902009.93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44271148.890000001</c:v>
                </c:pt>
                <c:pt idx="7">
                  <c:v>0</c:v>
                </c:pt>
                <c:pt idx="8">
                  <c:v>20787627.73</c:v>
                </c:pt>
                <c:pt idx="9">
                  <c:v>7495973.3799999999</c:v>
                </c:pt>
                <c:pt idx="10">
                  <c:v>5549521.3399999999</c:v>
                </c:pt>
                <c:pt idx="11">
                  <c:v>30547210.600000001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0-4CD7-A0C8-32F7C9F0E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60288"/>
        <c:axId val="289307392"/>
      </c:lineChart>
      <c:catAx>
        <c:axId val="2884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7392"/>
        <c:crosses val="autoZero"/>
        <c:auto val="1"/>
        <c:lblAlgn val="ctr"/>
        <c:lblOffset val="100"/>
        <c:noMultiLvlLbl val="0"/>
      </c:catAx>
      <c:valAx>
        <c:axId val="289307392"/>
        <c:scaling>
          <c:orientation val="minMax"/>
          <c:max val="49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60288"/>
        <c:crosses val="autoZero"/>
        <c:crossBetween val="between"/>
        <c:majorUnit val="7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</a:t>
            </a:r>
            <a:r>
              <a:rPr lang="cs-CZ"/>
              <a:t>22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2022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(měs)'!$H$28:$H$39</c:f>
              <c:numCache>
                <c:formatCode>#\ ##0_ ;\-#\ ##0\ </c:formatCode>
                <c:ptCount val="12"/>
                <c:pt idx="0">
                  <c:v>623919431.04999995</c:v>
                </c:pt>
                <c:pt idx="1">
                  <c:v>646965827.43999994</c:v>
                </c:pt>
                <c:pt idx="2">
                  <c:v>665899794.28999996</c:v>
                </c:pt>
                <c:pt idx="3">
                  <c:v>541994530.45000005</c:v>
                </c:pt>
                <c:pt idx="4">
                  <c:v>705545517.49000001</c:v>
                </c:pt>
                <c:pt idx="5">
                  <c:v>865763389.45000005</c:v>
                </c:pt>
                <c:pt idx="6">
                  <c:v>1225026472.9699998</c:v>
                </c:pt>
                <c:pt idx="7">
                  <c:v>678033873.00999999</c:v>
                </c:pt>
                <c:pt idx="8">
                  <c:v>872586119.6500001</c:v>
                </c:pt>
                <c:pt idx="9">
                  <c:v>645611218.51999998</c:v>
                </c:pt>
                <c:pt idx="10">
                  <c:v>784327957.75</c:v>
                </c:pt>
                <c:pt idx="11">
                  <c:v>1037500982.9299999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1-4805-8A9D-009FFF3F5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1632"/>
        <c:axId val="290226752"/>
      </c:lineChart>
      <c:catAx>
        <c:axId val="290181632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6752"/>
        <c:crosses val="autoZero"/>
        <c:auto val="1"/>
        <c:lblAlgn val="ctr"/>
        <c:lblOffset val="100"/>
        <c:noMultiLvlLbl val="0"/>
      </c:catAx>
      <c:valAx>
        <c:axId val="290226752"/>
        <c:scaling>
          <c:orientation val="minMax"/>
          <c:max val="14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1632"/>
        <c:crosses val="autoZero"/>
        <c:crossBetween val="between"/>
        <c:majorUnit val="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(kum)'!$B$28:$B$39</c:f>
              <c:numCache>
                <c:formatCode>#\ ##0_ ;\-#\ ##0\ </c:formatCode>
                <c:ptCount val="12"/>
                <c:pt idx="0">
                  <c:v>46010065.100000001</c:v>
                </c:pt>
                <c:pt idx="1">
                  <c:v>62245777.82</c:v>
                </c:pt>
                <c:pt idx="2">
                  <c:v>387994817.14999998</c:v>
                </c:pt>
                <c:pt idx="3">
                  <c:v>474348481</c:v>
                </c:pt>
                <c:pt idx="4">
                  <c:v>519177144.79000002</c:v>
                </c:pt>
                <c:pt idx="5">
                  <c:v>873264992.01999998</c:v>
                </c:pt>
                <c:pt idx="6">
                  <c:v>1422395251.6799998</c:v>
                </c:pt>
                <c:pt idx="7">
                  <c:v>1422395251.6799998</c:v>
                </c:pt>
                <c:pt idx="8">
                  <c:v>1770759122.8799999</c:v>
                </c:pt>
                <c:pt idx="9">
                  <c:v>1836633070.76</c:v>
                </c:pt>
                <c:pt idx="10">
                  <c:v>1843233950.1199999</c:v>
                </c:pt>
                <c:pt idx="11">
                  <c:v>2243851139.6099997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A-48DD-BEC7-1942A8C1F737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(kum)'!$C$28:$C$39</c:f>
              <c:numCache>
                <c:formatCode>#\ ##0_ ;\-#\ ##0\ </c:formatCode>
                <c:ptCount val="12"/>
                <c:pt idx="0">
                  <c:v>180070333.33333334</c:v>
                </c:pt>
                <c:pt idx="1">
                  <c:v>360140666.66666669</c:v>
                </c:pt>
                <c:pt idx="2">
                  <c:v>540211000</c:v>
                </c:pt>
                <c:pt idx="3">
                  <c:v>720281333.33333337</c:v>
                </c:pt>
                <c:pt idx="4">
                  <c:v>900351666.66666675</c:v>
                </c:pt>
                <c:pt idx="5">
                  <c:v>1080422000</c:v>
                </c:pt>
                <c:pt idx="6">
                  <c:v>1260492333.3333335</c:v>
                </c:pt>
                <c:pt idx="7">
                  <c:v>1440562666.6666667</c:v>
                </c:pt>
                <c:pt idx="8">
                  <c:v>1620633000</c:v>
                </c:pt>
                <c:pt idx="9">
                  <c:v>1800703333.3333335</c:v>
                </c:pt>
                <c:pt idx="10">
                  <c:v>1980773666.6666667</c:v>
                </c:pt>
                <c:pt idx="11">
                  <c:v>2160844000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A-48DD-BEC7-1942A8C1F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2000"/>
        <c:axId val="290228480"/>
      </c:lineChart>
      <c:catAx>
        <c:axId val="2897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8480"/>
        <c:crosses val="autoZero"/>
        <c:auto val="1"/>
        <c:lblAlgn val="ctr"/>
        <c:lblOffset val="100"/>
        <c:noMultiLvlLbl val="0"/>
      </c:catAx>
      <c:valAx>
        <c:axId val="290228480"/>
        <c:scaling>
          <c:orientation val="minMax"/>
          <c:max val="28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2000"/>
        <c:crosses val="autoZero"/>
        <c:crossBetween val="between"/>
        <c:majorUnit val="4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25159642401023"/>
          <c:y val="0.29018359390705828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5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(kum)'!$B$8:$B$19</c:f>
              <c:numCache>
                <c:formatCode>#\ ##0_ ;\-#\ ##0\ </c:formatCode>
                <c:ptCount val="12"/>
                <c:pt idx="0">
                  <c:v>140979932.11000001</c:v>
                </c:pt>
                <c:pt idx="1">
                  <c:v>246053427.27000001</c:v>
                </c:pt>
                <c:pt idx="2">
                  <c:v>324300265.97000003</c:v>
                </c:pt>
                <c:pt idx="3">
                  <c:v>405569197.06000006</c:v>
                </c:pt>
                <c:pt idx="4">
                  <c:v>500660886.08000004</c:v>
                </c:pt>
                <c:pt idx="5">
                  <c:v>628773832.48000002</c:v>
                </c:pt>
                <c:pt idx="6">
                  <c:v>762543198.35000002</c:v>
                </c:pt>
                <c:pt idx="7">
                  <c:v>884122243.68000007</c:v>
                </c:pt>
                <c:pt idx="8">
                  <c:v>1014655548.0200001</c:v>
                </c:pt>
                <c:pt idx="9">
                  <c:v>1137926728.75</c:v>
                </c:pt>
                <c:pt idx="10">
                  <c:v>1270886417.1300001</c:v>
                </c:pt>
                <c:pt idx="11">
                  <c:v>1432105719.3400002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C-4128-87BB-16B9DBF6490A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(kum)'!$C$8:$C$19</c:f>
              <c:numCache>
                <c:formatCode>#\ ##0_ ;\-#\ ##0\ </c:formatCode>
                <c:ptCount val="12"/>
                <c:pt idx="0">
                  <c:v>114125166.66666667</c:v>
                </c:pt>
                <c:pt idx="1">
                  <c:v>228250333.33333334</c:v>
                </c:pt>
                <c:pt idx="2">
                  <c:v>342375500</c:v>
                </c:pt>
                <c:pt idx="3">
                  <c:v>456500666.66666669</c:v>
                </c:pt>
                <c:pt idx="4">
                  <c:v>570625833.33333337</c:v>
                </c:pt>
                <c:pt idx="5">
                  <c:v>684751000</c:v>
                </c:pt>
                <c:pt idx="6">
                  <c:v>798876166.66666675</c:v>
                </c:pt>
                <c:pt idx="7">
                  <c:v>913001333.33333337</c:v>
                </c:pt>
                <c:pt idx="8">
                  <c:v>1027126500</c:v>
                </c:pt>
                <c:pt idx="9">
                  <c:v>1141251666.6666667</c:v>
                </c:pt>
                <c:pt idx="10">
                  <c:v>1255376833.3333335</c:v>
                </c:pt>
                <c:pt idx="11">
                  <c:v>1369502000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C-4128-87BB-16B9DBF64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4192"/>
        <c:axId val="290230208"/>
      </c:lineChart>
      <c:catAx>
        <c:axId val="290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0208"/>
        <c:crosses val="autoZero"/>
        <c:auto val="1"/>
        <c:lblAlgn val="ctr"/>
        <c:lblOffset val="100"/>
        <c:noMultiLvlLbl val="0"/>
      </c:catAx>
      <c:valAx>
        <c:axId val="290230208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419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862981207808794"/>
          <c:y val="0.28568043397817372"/>
          <c:w val="0.38633643495712461"/>
          <c:h val="8.72279976754697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(kum)'!$E$28:$E$39</c:f>
              <c:numCache>
                <c:formatCode>#\ ##0_ ;\-#\ ##0\ </c:formatCode>
                <c:ptCount val="12"/>
                <c:pt idx="0">
                  <c:v>400740891.81999999</c:v>
                </c:pt>
                <c:pt idx="1">
                  <c:v>892652455.61999989</c:v>
                </c:pt>
                <c:pt idx="2">
                  <c:v>1119624625.4599998</c:v>
                </c:pt>
                <c:pt idx="3">
                  <c:v>1470043675.5699997</c:v>
                </c:pt>
                <c:pt idx="4">
                  <c:v>2008358521.7199998</c:v>
                </c:pt>
                <c:pt idx="5">
                  <c:v>2360533887.5</c:v>
                </c:pt>
                <c:pt idx="6">
                  <c:v>2819909470.1300001</c:v>
                </c:pt>
                <c:pt idx="7">
                  <c:v>3336672958</c:v>
                </c:pt>
                <c:pt idx="8">
                  <c:v>3671398306.9499998</c:v>
                </c:pt>
                <c:pt idx="9">
                  <c:v>4088994969.1999998</c:v>
                </c:pt>
                <c:pt idx="10">
                  <c:v>4693852944.54</c:v>
                </c:pt>
                <c:pt idx="11">
                  <c:v>5098668513.0900002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3-41A9-852A-8141E13C307F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(kum)'!$F$28:$F$39</c:f>
              <c:numCache>
                <c:formatCode>#\ ##0_ ;\-#\ ##0\ </c:formatCode>
                <c:ptCount val="12"/>
                <c:pt idx="0">
                  <c:v>421508166.66666669</c:v>
                </c:pt>
                <c:pt idx="1">
                  <c:v>843016333.33333337</c:v>
                </c:pt>
                <c:pt idx="2">
                  <c:v>1264524500</c:v>
                </c:pt>
                <c:pt idx="3">
                  <c:v>1686032666.6666667</c:v>
                </c:pt>
                <c:pt idx="4">
                  <c:v>2107540833.3333335</c:v>
                </c:pt>
                <c:pt idx="5">
                  <c:v>2529049000</c:v>
                </c:pt>
                <c:pt idx="6">
                  <c:v>2950557166.666667</c:v>
                </c:pt>
                <c:pt idx="7">
                  <c:v>3372065333.3333335</c:v>
                </c:pt>
                <c:pt idx="8">
                  <c:v>3793573500</c:v>
                </c:pt>
                <c:pt idx="9">
                  <c:v>4215081666.666667</c:v>
                </c:pt>
                <c:pt idx="10">
                  <c:v>4636589833.333334</c:v>
                </c:pt>
                <c:pt idx="11">
                  <c:v>5058098000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3-41A9-852A-8141E13C3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3536"/>
        <c:axId val="290231936"/>
      </c:lineChart>
      <c:catAx>
        <c:axId val="2897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1936"/>
        <c:crosses val="autoZero"/>
        <c:auto val="1"/>
        <c:lblAlgn val="ctr"/>
        <c:lblOffset val="100"/>
        <c:noMultiLvlLbl val="0"/>
      </c:catAx>
      <c:valAx>
        <c:axId val="290231936"/>
        <c:scaling>
          <c:orientation val="minMax"/>
          <c:max val="56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3536"/>
        <c:crosses val="autoZero"/>
        <c:crossBetween val="between"/>
        <c:majorUnit val="8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83707352672871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</a:t>
            </a:r>
            <a:r>
              <a:rPr lang="cs-CZ" sz="1500" b="1">
                <a:solidFill>
                  <a:srgbClr val="000000"/>
                </a:solidFill>
              </a:rPr>
              <a:t>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(kum)'!$E$8:$E$19</c:f>
              <c:numCache>
                <c:formatCode>#\ ##0_ ;\-#\ ##0\ </c:formatCode>
                <c:ptCount val="12"/>
                <c:pt idx="0">
                  <c:v>8746900.7100000009</c:v>
                </c:pt>
                <c:pt idx="1">
                  <c:v>15266037.260000002</c:v>
                </c:pt>
                <c:pt idx="2">
                  <c:v>20120751.800000001</c:v>
                </c:pt>
                <c:pt idx="3">
                  <c:v>25162967.789999999</c:v>
                </c:pt>
                <c:pt idx="4">
                  <c:v>31062797.239999998</c:v>
                </c:pt>
                <c:pt idx="5">
                  <c:v>39011383.989999995</c:v>
                </c:pt>
                <c:pt idx="6">
                  <c:v>47310915.249999993</c:v>
                </c:pt>
                <c:pt idx="7">
                  <c:v>54854115.319999993</c:v>
                </c:pt>
                <c:pt idx="8">
                  <c:v>62520304.969999991</c:v>
                </c:pt>
                <c:pt idx="9">
                  <c:v>70112989.239999995</c:v>
                </c:pt>
                <c:pt idx="10">
                  <c:v>78302421.089999989</c:v>
                </c:pt>
                <c:pt idx="11">
                  <c:v>88232457.109999985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A-4B57-B5A7-F0522A60084F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(kum)'!$F$8:$F$19</c:f>
              <c:numCache>
                <c:formatCode>#\ ##0_ ;\-#\ ##0\ </c:formatCode>
                <c:ptCount val="12"/>
                <c:pt idx="0">
                  <c:v>7118500</c:v>
                </c:pt>
                <c:pt idx="1">
                  <c:v>14237000</c:v>
                </c:pt>
                <c:pt idx="2">
                  <c:v>21355500</c:v>
                </c:pt>
                <c:pt idx="3">
                  <c:v>28474000</c:v>
                </c:pt>
                <c:pt idx="4">
                  <c:v>35592500</c:v>
                </c:pt>
                <c:pt idx="5">
                  <c:v>42711000</c:v>
                </c:pt>
                <c:pt idx="6">
                  <c:v>49829500</c:v>
                </c:pt>
                <c:pt idx="7">
                  <c:v>56948000</c:v>
                </c:pt>
                <c:pt idx="8">
                  <c:v>64066500</c:v>
                </c:pt>
                <c:pt idx="9">
                  <c:v>71185000</c:v>
                </c:pt>
                <c:pt idx="10">
                  <c:v>78303500</c:v>
                </c:pt>
                <c:pt idx="11">
                  <c:v>85422000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A-4B57-B5A7-F0522A600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4560"/>
        <c:axId val="290233664"/>
      </c:lineChart>
      <c:catAx>
        <c:axId val="2897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3664"/>
        <c:crosses val="autoZero"/>
        <c:auto val="1"/>
        <c:lblAlgn val="ctr"/>
        <c:lblOffset val="100"/>
        <c:noMultiLvlLbl val="0"/>
      </c:catAx>
      <c:valAx>
        <c:axId val="290233664"/>
        <c:scaling>
          <c:orientation val="minMax"/>
          <c:max val="105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4560"/>
        <c:crosses val="autoZero"/>
        <c:crossBetween val="between"/>
        <c:majorUnit val="1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14796569968983"/>
          <c:y val="0.27570575938044983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539065656565665"/>
          <c:w val="0.79256435811020431"/>
          <c:h val="0.5761518759018775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(měs)'!$K$8:$K$19</c:f>
              <c:numCache>
                <c:formatCode>#\ ##0_ ;\-#\ ##0\ </c:formatCode>
                <c:ptCount val="12"/>
                <c:pt idx="0">
                  <c:v>9555758</c:v>
                </c:pt>
                <c:pt idx="1">
                  <c:v>1200492</c:v>
                </c:pt>
                <c:pt idx="2">
                  <c:v>2811801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780512</c:v>
                </c:pt>
                <c:pt idx="11">
                  <c:v>6329298.3099999996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B-485B-A2D6-8212B60B3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249472"/>
        <c:axId val="222027776"/>
      </c:lineChart>
      <c:catAx>
        <c:axId val="2222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02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027776"/>
        <c:scaling>
          <c:orientation val="minMax"/>
          <c:max val="105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2249472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(kum)'!$K$8:$K$19</c:f>
              <c:numCache>
                <c:formatCode>#\ ##0_ ;\-#\ ##0\ </c:formatCode>
                <c:ptCount val="12"/>
                <c:pt idx="0">
                  <c:v>20064782.27</c:v>
                </c:pt>
                <c:pt idx="1">
                  <c:v>43704701.650000006</c:v>
                </c:pt>
                <c:pt idx="2">
                  <c:v>59879723.600000009</c:v>
                </c:pt>
                <c:pt idx="3">
                  <c:v>78790393.010000005</c:v>
                </c:pt>
                <c:pt idx="4">
                  <c:v>100200882.09</c:v>
                </c:pt>
                <c:pt idx="5">
                  <c:v>123639525.38</c:v>
                </c:pt>
                <c:pt idx="6">
                  <c:v>153820110.03999999</c:v>
                </c:pt>
                <c:pt idx="7">
                  <c:v>185968249.78</c:v>
                </c:pt>
                <c:pt idx="8">
                  <c:v>216478027.56</c:v>
                </c:pt>
                <c:pt idx="9">
                  <c:v>240258797.56999999</c:v>
                </c:pt>
                <c:pt idx="10">
                  <c:v>266429259.04999998</c:v>
                </c:pt>
                <c:pt idx="11">
                  <c:v>296800935.10999995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8-4334-AC3E-6BF1912FE2DD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(kum)'!$L$8:$L$19</c:f>
              <c:numCache>
                <c:formatCode>#\ ##0_ ;\-#\ ##0\ </c:formatCode>
                <c:ptCount val="12"/>
                <c:pt idx="0">
                  <c:v>22860250</c:v>
                </c:pt>
                <c:pt idx="1">
                  <c:v>45720500</c:v>
                </c:pt>
                <c:pt idx="2">
                  <c:v>68580750</c:v>
                </c:pt>
                <c:pt idx="3">
                  <c:v>91441000</c:v>
                </c:pt>
                <c:pt idx="4">
                  <c:v>114301250</c:v>
                </c:pt>
                <c:pt idx="5">
                  <c:v>137161500</c:v>
                </c:pt>
                <c:pt idx="6">
                  <c:v>160021750</c:v>
                </c:pt>
                <c:pt idx="7">
                  <c:v>182882000</c:v>
                </c:pt>
                <c:pt idx="8">
                  <c:v>205742250</c:v>
                </c:pt>
                <c:pt idx="9">
                  <c:v>228602500</c:v>
                </c:pt>
                <c:pt idx="10">
                  <c:v>251462750</c:v>
                </c:pt>
                <c:pt idx="11">
                  <c:v>274323000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8-4334-AC3E-6BF1912FE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5584"/>
        <c:axId val="290489472"/>
      </c:lineChart>
      <c:catAx>
        <c:axId val="2897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89472"/>
        <c:crosses val="autoZero"/>
        <c:auto val="1"/>
        <c:lblAlgn val="ctr"/>
        <c:lblOffset val="100"/>
        <c:noMultiLvlLbl val="0"/>
      </c:catAx>
      <c:valAx>
        <c:axId val="290489472"/>
        <c:scaling>
          <c:orientation val="minMax"/>
          <c:max val="3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5584"/>
        <c:crosses val="autoZero"/>
        <c:crossBetween val="between"/>
        <c:majorUnit val="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45885787265097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(kum)'!$H$8:$H$19</c:f>
              <c:numCache>
                <c:formatCode>#\ ##0_ ;\-#\ ##0\ </c:formatCode>
                <c:ptCount val="12"/>
                <c:pt idx="0">
                  <c:v>7376859.04</c:v>
                </c:pt>
                <c:pt idx="1">
                  <c:v>10962858.870000001</c:v>
                </c:pt>
                <c:pt idx="2">
                  <c:v>24864868.800000001</c:v>
                </c:pt>
                <c:pt idx="3">
                  <c:v>24864868.800000001</c:v>
                </c:pt>
                <c:pt idx="4">
                  <c:v>24864868.800000001</c:v>
                </c:pt>
                <c:pt idx="5">
                  <c:v>24864868.800000001</c:v>
                </c:pt>
                <c:pt idx="6">
                  <c:v>69136017.689999998</c:v>
                </c:pt>
                <c:pt idx="7">
                  <c:v>69136017.689999998</c:v>
                </c:pt>
                <c:pt idx="8">
                  <c:v>89923645.420000002</c:v>
                </c:pt>
                <c:pt idx="9">
                  <c:v>97419618.799999997</c:v>
                </c:pt>
                <c:pt idx="10">
                  <c:v>102969140.14</c:v>
                </c:pt>
                <c:pt idx="11">
                  <c:v>133516350.74000001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C-4F52-87DF-B833FBA76873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(kum)'!$I$8:$I$19</c:f>
              <c:numCache>
                <c:formatCode>#\ ##0_ ;\-#\ ##0\ </c:formatCode>
                <c:ptCount val="12"/>
                <c:pt idx="0">
                  <c:v>8478000</c:v>
                </c:pt>
                <c:pt idx="1">
                  <c:v>16956000</c:v>
                </c:pt>
                <c:pt idx="2">
                  <c:v>25434000</c:v>
                </c:pt>
                <c:pt idx="3">
                  <c:v>33912000</c:v>
                </c:pt>
                <c:pt idx="4">
                  <c:v>42390000</c:v>
                </c:pt>
                <c:pt idx="5">
                  <c:v>50868000</c:v>
                </c:pt>
                <c:pt idx="6">
                  <c:v>59346000</c:v>
                </c:pt>
                <c:pt idx="7">
                  <c:v>67824000</c:v>
                </c:pt>
                <c:pt idx="8">
                  <c:v>76302000</c:v>
                </c:pt>
                <c:pt idx="9">
                  <c:v>84780000</c:v>
                </c:pt>
                <c:pt idx="10">
                  <c:v>93258000</c:v>
                </c:pt>
                <c:pt idx="11">
                  <c:v>101736000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C-4F52-87DF-B833FBA76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8800"/>
        <c:axId val="290491200"/>
      </c:lineChart>
      <c:catAx>
        <c:axId val="290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1200"/>
        <c:crosses val="autoZero"/>
        <c:auto val="1"/>
        <c:lblAlgn val="ctr"/>
        <c:lblOffset val="100"/>
        <c:noMultiLvlLbl val="0"/>
      </c:catAx>
      <c:valAx>
        <c:axId val="290491200"/>
        <c:scaling>
          <c:orientation val="minMax"/>
          <c:max val="14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8800"/>
        <c:crosses val="autoZero"/>
        <c:crossBetween val="between"/>
        <c:minorUnit val="27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66611932129175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2022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(kum)'!$H$28:$H$39</c:f>
              <c:numCache>
                <c:formatCode>#\ ##0_ ;\-#\ ##0\ </c:formatCode>
                <c:ptCount val="12"/>
                <c:pt idx="0">
                  <c:v>623919431.04999995</c:v>
                </c:pt>
                <c:pt idx="1">
                  <c:v>1270885258.4899998</c:v>
                </c:pt>
                <c:pt idx="2">
                  <c:v>1936785052.7799997</c:v>
                </c:pt>
                <c:pt idx="3">
                  <c:v>2478779583.2299995</c:v>
                </c:pt>
                <c:pt idx="4">
                  <c:v>3184325100.7199998</c:v>
                </c:pt>
                <c:pt idx="5">
                  <c:v>4050088490.1700001</c:v>
                </c:pt>
                <c:pt idx="6">
                  <c:v>5275114963.1399994</c:v>
                </c:pt>
                <c:pt idx="7">
                  <c:v>5953148836.1499996</c:v>
                </c:pt>
                <c:pt idx="8">
                  <c:v>6825734955.7999992</c:v>
                </c:pt>
                <c:pt idx="9">
                  <c:v>7471346174.3199997</c:v>
                </c:pt>
                <c:pt idx="10">
                  <c:v>8255674132.0699997</c:v>
                </c:pt>
                <c:pt idx="11">
                  <c:v>9293175115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0-487A-B84A-65DEE142ADFA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(kum)'!$I$28:$I$39</c:f>
              <c:numCache>
                <c:formatCode>#\ ##0_ ;\-#\ ##0\ </c:formatCode>
                <c:ptCount val="12"/>
                <c:pt idx="0">
                  <c:v>754160416.66666663</c:v>
                </c:pt>
                <c:pt idx="1">
                  <c:v>1508320833.3333333</c:v>
                </c:pt>
                <c:pt idx="2">
                  <c:v>2262481250</c:v>
                </c:pt>
                <c:pt idx="3">
                  <c:v>3016641666.6666665</c:v>
                </c:pt>
                <c:pt idx="4">
                  <c:v>3770802083.333333</c:v>
                </c:pt>
                <c:pt idx="5">
                  <c:v>4524962500</c:v>
                </c:pt>
                <c:pt idx="6">
                  <c:v>5279122916.666666</c:v>
                </c:pt>
                <c:pt idx="7">
                  <c:v>6033283333.333333</c:v>
                </c:pt>
                <c:pt idx="8">
                  <c:v>6787443750</c:v>
                </c:pt>
                <c:pt idx="9">
                  <c:v>7541604166.666666</c:v>
                </c:pt>
                <c:pt idx="10">
                  <c:v>8295764583.333333</c:v>
                </c:pt>
                <c:pt idx="11">
                  <c:v>9049925000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0-487A-B84A-65DEE142A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9824"/>
        <c:axId val="290492928"/>
      </c:lineChart>
      <c:catAx>
        <c:axId val="2908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2928"/>
        <c:crosses val="autoZero"/>
        <c:auto val="1"/>
        <c:lblAlgn val="ctr"/>
        <c:lblOffset val="100"/>
        <c:noMultiLvlLbl val="0"/>
      </c:catAx>
      <c:valAx>
        <c:axId val="290492928"/>
        <c:scaling>
          <c:orientation val="minMax"/>
          <c:max val="98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9824"/>
        <c:crosses val="autoZero"/>
        <c:crossBetween val="between"/>
        <c:majorUnit val="14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152618135376754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2022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(kum)'!$B$28:$B$39</c:f>
              <c:numCache>
                <c:formatCode>#\ ##0_ ;\-#\ ##0\ </c:formatCode>
                <c:ptCount val="12"/>
                <c:pt idx="0">
                  <c:v>46010065.100000001</c:v>
                </c:pt>
                <c:pt idx="1">
                  <c:v>62245777.82</c:v>
                </c:pt>
                <c:pt idx="2">
                  <c:v>387994817.14999998</c:v>
                </c:pt>
                <c:pt idx="3">
                  <c:v>474348481</c:v>
                </c:pt>
                <c:pt idx="4">
                  <c:v>519177144.79000002</c:v>
                </c:pt>
                <c:pt idx="5">
                  <c:v>873264992.01999998</c:v>
                </c:pt>
                <c:pt idx="6">
                  <c:v>1422395251.6799998</c:v>
                </c:pt>
                <c:pt idx="7">
                  <c:v>1422395251.6799998</c:v>
                </c:pt>
                <c:pt idx="8">
                  <c:v>1770759122.8799999</c:v>
                </c:pt>
                <c:pt idx="9">
                  <c:v>1836633070.76</c:v>
                </c:pt>
                <c:pt idx="10">
                  <c:v>1843233950.1199999</c:v>
                </c:pt>
                <c:pt idx="11">
                  <c:v>2243851139.6099997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6-4B40-ACC1-C9511B955061}"/>
            </c:ext>
          </c:extLst>
        </c:ser>
        <c:ser>
          <c:idx val="1"/>
          <c:order val="1"/>
          <c:tx>
            <c:v>skutečnost 2021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(kum)'!$B$28:$B$39</c:f>
              <c:numCache>
                <c:formatCode>#\ ##0_ ;\-#\ ##0\ </c:formatCode>
                <c:ptCount val="12"/>
                <c:pt idx="0">
                  <c:v>81834799.829999998</c:v>
                </c:pt>
                <c:pt idx="1">
                  <c:v>94034305.25</c:v>
                </c:pt>
                <c:pt idx="2">
                  <c:v>408377054.28000003</c:v>
                </c:pt>
                <c:pt idx="3">
                  <c:v>495054483.91000003</c:v>
                </c:pt>
                <c:pt idx="4">
                  <c:v>509702499.77000004</c:v>
                </c:pt>
                <c:pt idx="5">
                  <c:v>873068452</c:v>
                </c:pt>
                <c:pt idx="6">
                  <c:v>1286528308.8299999</c:v>
                </c:pt>
                <c:pt idx="7">
                  <c:v>1286528308.8299999</c:v>
                </c:pt>
                <c:pt idx="8">
                  <c:v>1550522861.76</c:v>
                </c:pt>
                <c:pt idx="9">
                  <c:v>1611039742.77</c:v>
                </c:pt>
                <c:pt idx="10">
                  <c:v>1620553576.3099999</c:v>
                </c:pt>
                <c:pt idx="11">
                  <c:v>1955031614.8699999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6-4B40-ACC1-C9511B955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91456"/>
        <c:axId val="290494656"/>
      </c:lineChart>
      <c:catAx>
        <c:axId val="2206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4656"/>
        <c:crosses val="autoZero"/>
        <c:auto val="1"/>
        <c:lblAlgn val="ctr"/>
        <c:lblOffset val="100"/>
        <c:noMultiLvlLbl val="0"/>
      </c:catAx>
      <c:valAx>
        <c:axId val="290494656"/>
        <c:scaling>
          <c:orientation val="minMax"/>
          <c:max val="28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91456"/>
        <c:crosses val="autoZero"/>
        <c:crossBetween val="between"/>
        <c:majorUnit val="4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68076081007112"/>
          <c:y val="0.29490540056212627"/>
          <c:w val="0.32086161284437148"/>
          <c:h val="0.154934827306509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2022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(kum)'!$B$8:$B$19</c:f>
              <c:numCache>
                <c:formatCode>#\ ##0_ ;\-#\ ##0\ </c:formatCode>
                <c:ptCount val="12"/>
                <c:pt idx="0">
                  <c:v>140979932.11000001</c:v>
                </c:pt>
                <c:pt idx="1">
                  <c:v>246053427.27000001</c:v>
                </c:pt>
                <c:pt idx="2">
                  <c:v>324300265.97000003</c:v>
                </c:pt>
                <c:pt idx="3">
                  <c:v>405569197.06000006</c:v>
                </c:pt>
                <c:pt idx="4">
                  <c:v>500660886.08000004</c:v>
                </c:pt>
                <c:pt idx="5">
                  <c:v>628773832.48000002</c:v>
                </c:pt>
                <c:pt idx="6">
                  <c:v>762543198.35000002</c:v>
                </c:pt>
                <c:pt idx="7">
                  <c:v>884122243.68000007</c:v>
                </c:pt>
                <c:pt idx="8">
                  <c:v>1014655548.0200001</c:v>
                </c:pt>
                <c:pt idx="9">
                  <c:v>1137926728.75</c:v>
                </c:pt>
                <c:pt idx="10">
                  <c:v>1270886417.1300001</c:v>
                </c:pt>
                <c:pt idx="11">
                  <c:v>1432105719.3400002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2-4CE8-9F62-0E1B511D06A5}"/>
            </c:ext>
          </c:extLst>
        </c:ser>
        <c:ser>
          <c:idx val="1"/>
          <c:order val="1"/>
          <c:tx>
            <c:v>skutečnost 2021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(kum)'!$B$8:$B$19</c:f>
              <c:numCache>
                <c:formatCode>#\ ##0_ ;\-#\ ##0\ </c:formatCode>
                <c:ptCount val="12"/>
                <c:pt idx="0">
                  <c:v>199772286.56</c:v>
                </c:pt>
                <c:pt idx="1">
                  <c:v>319828894.01999998</c:v>
                </c:pt>
                <c:pt idx="2">
                  <c:v>401296625.44</c:v>
                </c:pt>
                <c:pt idx="3">
                  <c:v>426061492.31999999</c:v>
                </c:pt>
                <c:pt idx="4">
                  <c:v>484840384.69</c:v>
                </c:pt>
                <c:pt idx="5">
                  <c:v>589024214.61000001</c:v>
                </c:pt>
                <c:pt idx="6">
                  <c:v>712539088.54999995</c:v>
                </c:pt>
                <c:pt idx="7">
                  <c:v>829913823.55999994</c:v>
                </c:pt>
                <c:pt idx="8">
                  <c:v>945855072.14999998</c:v>
                </c:pt>
                <c:pt idx="9">
                  <c:v>1069046140.36</c:v>
                </c:pt>
                <c:pt idx="10">
                  <c:v>1188631580.6500001</c:v>
                </c:pt>
                <c:pt idx="11">
                  <c:v>1338915773.77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2-4CE8-9F62-0E1B511D0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8272"/>
        <c:axId val="290955264"/>
      </c:lineChart>
      <c:catAx>
        <c:axId val="22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5264"/>
        <c:crosses val="autoZero"/>
        <c:auto val="1"/>
        <c:lblAlgn val="ctr"/>
        <c:lblOffset val="100"/>
        <c:noMultiLvlLbl val="0"/>
      </c:catAx>
      <c:valAx>
        <c:axId val="290955264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827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88802225871192"/>
          <c:y val="0.28535757713938287"/>
          <c:w val="0.32086161284437148"/>
          <c:h val="0.1693087855297157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2022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(kum)'!$E$28:$E$39</c:f>
              <c:numCache>
                <c:formatCode>#\ ##0_ ;\-#\ ##0\ </c:formatCode>
                <c:ptCount val="12"/>
                <c:pt idx="0">
                  <c:v>400740891.81999999</c:v>
                </c:pt>
                <c:pt idx="1">
                  <c:v>892652455.61999989</c:v>
                </c:pt>
                <c:pt idx="2">
                  <c:v>1119624625.4599998</c:v>
                </c:pt>
                <c:pt idx="3">
                  <c:v>1470043675.5699997</c:v>
                </c:pt>
                <c:pt idx="4">
                  <c:v>2008358521.7199998</c:v>
                </c:pt>
                <c:pt idx="5">
                  <c:v>2360533887.5</c:v>
                </c:pt>
                <c:pt idx="6">
                  <c:v>2819909470.1300001</c:v>
                </c:pt>
                <c:pt idx="7">
                  <c:v>3336672958</c:v>
                </c:pt>
                <c:pt idx="8">
                  <c:v>3671398306.9499998</c:v>
                </c:pt>
                <c:pt idx="9">
                  <c:v>4088994969.1999998</c:v>
                </c:pt>
                <c:pt idx="10">
                  <c:v>4693852944.54</c:v>
                </c:pt>
                <c:pt idx="11">
                  <c:v>5098668513.0900002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9-47FA-B8CC-82B89C811F58}"/>
            </c:ext>
          </c:extLst>
        </c:ser>
        <c:ser>
          <c:idx val="1"/>
          <c:order val="1"/>
          <c:tx>
            <c:v>skutečnost 2021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(kum)'!$E$28:$E$39</c:f>
              <c:numCache>
                <c:formatCode>#\ ##0_ ;\-#\ ##0\ </c:formatCode>
                <c:ptCount val="12"/>
                <c:pt idx="0">
                  <c:v>339298940.76999998</c:v>
                </c:pt>
                <c:pt idx="1">
                  <c:v>782855263.28999996</c:v>
                </c:pt>
                <c:pt idx="2">
                  <c:v>955320852.48000002</c:v>
                </c:pt>
                <c:pt idx="3">
                  <c:v>1217006016.95</c:v>
                </c:pt>
                <c:pt idx="4">
                  <c:v>1651709542.25</c:v>
                </c:pt>
                <c:pt idx="5">
                  <c:v>1962345173.0999999</c:v>
                </c:pt>
                <c:pt idx="6">
                  <c:v>2336580641.71</c:v>
                </c:pt>
                <c:pt idx="7">
                  <c:v>2807484086.0100002</c:v>
                </c:pt>
                <c:pt idx="8">
                  <c:v>3094584786.8100004</c:v>
                </c:pt>
                <c:pt idx="9">
                  <c:v>3440112024.9900002</c:v>
                </c:pt>
                <c:pt idx="10">
                  <c:v>3934153798.4000001</c:v>
                </c:pt>
                <c:pt idx="11">
                  <c:v>4373309276.6900005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9-47FA-B8CC-82B89C81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296"/>
        <c:axId val="290956992"/>
      </c:lineChart>
      <c:catAx>
        <c:axId val="220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6992"/>
        <c:crosses val="autoZero"/>
        <c:auto val="1"/>
        <c:lblAlgn val="ctr"/>
        <c:lblOffset val="100"/>
        <c:noMultiLvlLbl val="0"/>
      </c:catAx>
      <c:valAx>
        <c:axId val="290956992"/>
        <c:scaling>
          <c:orientation val="minMax"/>
          <c:max val="56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296"/>
        <c:crosses val="autoZero"/>
        <c:crossBetween val="between"/>
        <c:majorUnit val="8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36986863711003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2022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(kum)'!$E$8:$E$19</c:f>
              <c:numCache>
                <c:formatCode>#\ ##0_ ;\-#\ ##0\ </c:formatCode>
                <c:ptCount val="12"/>
                <c:pt idx="0">
                  <c:v>8746900.7100000009</c:v>
                </c:pt>
                <c:pt idx="1">
                  <c:v>15266037.260000002</c:v>
                </c:pt>
                <c:pt idx="2">
                  <c:v>20120751.800000001</c:v>
                </c:pt>
                <c:pt idx="3">
                  <c:v>25162967.789999999</c:v>
                </c:pt>
                <c:pt idx="4">
                  <c:v>31062797.239999998</c:v>
                </c:pt>
                <c:pt idx="5">
                  <c:v>39011383.989999995</c:v>
                </c:pt>
                <c:pt idx="6">
                  <c:v>47310915.249999993</c:v>
                </c:pt>
                <c:pt idx="7">
                  <c:v>54854115.319999993</c:v>
                </c:pt>
                <c:pt idx="8">
                  <c:v>62520304.969999991</c:v>
                </c:pt>
                <c:pt idx="9">
                  <c:v>70112989.239999995</c:v>
                </c:pt>
                <c:pt idx="10">
                  <c:v>78302421.089999989</c:v>
                </c:pt>
                <c:pt idx="11">
                  <c:v>88232457.109999985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9-4AFE-8CEF-6D8D391B91BA}"/>
            </c:ext>
          </c:extLst>
        </c:ser>
        <c:ser>
          <c:idx val="1"/>
          <c:order val="1"/>
          <c:tx>
            <c:v>skutečnost 2021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(kum)'!$E$8:$E$19</c:f>
              <c:numCache>
                <c:formatCode>#\ ##0_ ;\-#\ ##0\ </c:formatCode>
                <c:ptCount val="12"/>
                <c:pt idx="0">
                  <c:v>12899930.41</c:v>
                </c:pt>
                <c:pt idx="1">
                  <c:v>20405760.899999999</c:v>
                </c:pt>
                <c:pt idx="2">
                  <c:v>25499049.779999997</c:v>
                </c:pt>
                <c:pt idx="3">
                  <c:v>27047326.859999999</c:v>
                </c:pt>
                <c:pt idx="4">
                  <c:v>30722130.009999998</c:v>
                </c:pt>
                <c:pt idx="5">
                  <c:v>37235608.82</c:v>
                </c:pt>
                <c:pt idx="6">
                  <c:v>44957646.990000002</c:v>
                </c:pt>
                <c:pt idx="7">
                  <c:v>52295809.25</c:v>
                </c:pt>
                <c:pt idx="8">
                  <c:v>59127152.799999997</c:v>
                </c:pt>
                <c:pt idx="9">
                  <c:v>66770368.519999996</c:v>
                </c:pt>
                <c:pt idx="10">
                  <c:v>74189878.199999988</c:v>
                </c:pt>
                <c:pt idx="11">
                  <c:v>83514048.599999994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9-4AFE-8CEF-6D8D391B9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808"/>
        <c:axId val="290958720"/>
      </c:lineChart>
      <c:catAx>
        <c:axId val="2205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8720"/>
        <c:crosses val="autoZero"/>
        <c:auto val="1"/>
        <c:lblAlgn val="ctr"/>
        <c:lblOffset val="100"/>
        <c:noMultiLvlLbl val="0"/>
      </c:catAx>
      <c:valAx>
        <c:axId val="290958720"/>
        <c:scaling>
          <c:orientation val="minMax"/>
          <c:max val="105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808"/>
        <c:crosses val="autoZero"/>
        <c:crossBetween val="between"/>
        <c:majorUnit val="1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7570565435476518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2022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(kum)'!$K$8:$K$19</c:f>
              <c:numCache>
                <c:formatCode>#\ ##0_ ;\-#\ ##0\ </c:formatCode>
                <c:ptCount val="12"/>
                <c:pt idx="0">
                  <c:v>20064782.27</c:v>
                </c:pt>
                <c:pt idx="1">
                  <c:v>43704701.650000006</c:v>
                </c:pt>
                <c:pt idx="2">
                  <c:v>59879723.600000009</c:v>
                </c:pt>
                <c:pt idx="3">
                  <c:v>78790393.010000005</c:v>
                </c:pt>
                <c:pt idx="4">
                  <c:v>100200882.09</c:v>
                </c:pt>
                <c:pt idx="5">
                  <c:v>123639525.38</c:v>
                </c:pt>
                <c:pt idx="6">
                  <c:v>153820110.03999999</c:v>
                </c:pt>
                <c:pt idx="7">
                  <c:v>185968249.78</c:v>
                </c:pt>
                <c:pt idx="8">
                  <c:v>216478027.56</c:v>
                </c:pt>
                <c:pt idx="9">
                  <c:v>240258797.56999999</c:v>
                </c:pt>
                <c:pt idx="10">
                  <c:v>266429259.04999998</c:v>
                </c:pt>
                <c:pt idx="11">
                  <c:v>296800935.10999995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2-442E-90B4-4C02ED5D9536}"/>
            </c:ext>
          </c:extLst>
        </c:ser>
        <c:ser>
          <c:idx val="1"/>
          <c:order val="1"/>
          <c:tx>
            <c:v>skutečnost 2021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(kum)'!$K$8:$K$19</c:f>
              <c:numCache>
                <c:formatCode>#\ ##0_ ;\-#\ ##0\ </c:formatCode>
                <c:ptCount val="12"/>
                <c:pt idx="0">
                  <c:v>17357372.329999998</c:v>
                </c:pt>
                <c:pt idx="1">
                  <c:v>36134674.589999996</c:v>
                </c:pt>
                <c:pt idx="2">
                  <c:v>49193218.079999998</c:v>
                </c:pt>
                <c:pt idx="3">
                  <c:v>64742587.519999996</c:v>
                </c:pt>
                <c:pt idx="4">
                  <c:v>80447480.399999991</c:v>
                </c:pt>
                <c:pt idx="5">
                  <c:v>102146389.27999999</c:v>
                </c:pt>
                <c:pt idx="6">
                  <c:v>125674501.07999998</c:v>
                </c:pt>
                <c:pt idx="7">
                  <c:v>145759126.72999999</c:v>
                </c:pt>
                <c:pt idx="8">
                  <c:v>172582811.91</c:v>
                </c:pt>
                <c:pt idx="9">
                  <c:v>193730294.40000001</c:v>
                </c:pt>
                <c:pt idx="10">
                  <c:v>211910276.03</c:v>
                </c:pt>
                <c:pt idx="11">
                  <c:v>231727000.73000002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2-442E-90B4-4C02ED5D9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01856"/>
        <c:axId val="290960448"/>
      </c:lineChart>
      <c:catAx>
        <c:axId val="2206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0448"/>
        <c:crosses val="autoZero"/>
        <c:auto val="1"/>
        <c:lblAlgn val="ctr"/>
        <c:lblOffset val="100"/>
        <c:noMultiLvlLbl val="0"/>
      </c:catAx>
      <c:valAx>
        <c:axId val="290960448"/>
        <c:scaling>
          <c:orientation val="minMax"/>
          <c:max val="3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01856"/>
        <c:crosses val="autoZero"/>
        <c:crossBetween val="between"/>
        <c:majorUnit val="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09528370735266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2022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(kum)'!$H$8:$H$19</c:f>
              <c:numCache>
                <c:formatCode>#\ ##0_ ;\-#\ ##0\ </c:formatCode>
                <c:ptCount val="12"/>
                <c:pt idx="0">
                  <c:v>7376859.04</c:v>
                </c:pt>
                <c:pt idx="1">
                  <c:v>10962858.870000001</c:v>
                </c:pt>
                <c:pt idx="2">
                  <c:v>24864868.800000001</c:v>
                </c:pt>
                <c:pt idx="3">
                  <c:v>24864868.800000001</c:v>
                </c:pt>
                <c:pt idx="4">
                  <c:v>24864868.800000001</c:v>
                </c:pt>
                <c:pt idx="5">
                  <c:v>24864868.800000001</c:v>
                </c:pt>
                <c:pt idx="6">
                  <c:v>69136017.689999998</c:v>
                </c:pt>
                <c:pt idx="7">
                  <c:v>69136017.689999998</c:v>
                </c:pt>
                <c:pt idx="8">
                  <c:v>89923645.420000002</c:v>
                </c:pt>
                <c:pt idx="9">
                  <c:v>97419618.799999997</c:v>
                </c:pt>
                <c:pt idx="10">
                  <c:v>102969140.14</c:v>
                </c:pt>
                <c:pt idx="11">
                  <c:v>133516350.74000001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9-43DE-A4AC-7D90C438E676}"/>
            </c:ext>
          </c:extLst>
        </c:ser>
        <c:ser>
          <c:idx val="1"/>
          <c:order val="1"/>
          <c:tx>
            <c:v>skutečnost 2021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(kum)'!$H$8:$H$19</c:f>
              <c:numCache>
                <c:formatCode>#\ ##0_ ;\-#\ ##0\ </c:formatCode>
                <c:ptCount val="12"/>
                <c:pt idx="0">
                  <c:v>4166693.01</c:v>
                </c:pt>
                <c:pt idx="1">
                  <c:v>8276549.0899999999</c:v>
                </c:pt>
                <c:pt idx="2">
                  <c:v>21357026.969999999</c:v>
                </c:pt>
                <c:pt idx="3">
                  <c:v>21357026.969999999</c:v>
                </c:pt>
                <c:pt idx="4">
                  <c:v>21357026.969999999</c:v>
                </c:pt>
                <c:pt idx="5">
                  <c:v>21357026.969999999</c:v>
                </c:pt>
                <c:pt idx="6">
                  <c:v>33100778.5</c:v>
                </c:pt>
                <c:pt idx="7">
                  <c:v>33100778.5</c:v>
                </c:pt>
                <c:pt idx="8">
                  <c:v>48453562.159999996</c:v>
                </c:pt>
                <c:pt idx="9">
                  <c:v>55540495.539999999</c:v>
                </c:pt>
                <c:pt idx="10">
                  <c:v>61287637.409999996</c:v>
                </c:pt>
                <c:pt idx="11">
                  <c:v>89346402.209999993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9-43DE-A4AC-7D90C438E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0496"/>
        <c:axId val="290962176"/>
      </c:lineChart>
      <c:catAx>
        <c:axId val="2907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2176"/>
        <c:crosses val="autoZero"/>
        <c:auto val="1"/>
        <c:lblAlgn val="ctr"/>
        <c:lblOffset val="100"/>
        <c:noMultiLvlLbl val="0"/>
      </c:catAx>
      <c:valAx>
        <c:axId val="290962176"/>
        <c:scaling>
          <c:orientation val="minMax"/>
          <c:max val="14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0496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50980660463418"/>
          <c:y val="0.28535757713938287"/>
          <c:w val="0.31796524356869182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Sdílené daně</a:t>
            </a:r>
            <a:r>
              <a:rPr lang="cs-CZ" sz="1800" b="1" baseline="0">
                <a:solidFill>
                  <a:srgbClr val="000000"/>
                </a:solidFill>
              </a:rPr>
              <a:t> města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2022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(kum)'!$H$28:$H$39</c:f>
              <c:numCache>
                <c:formatCode>#\ ##0_ ;\-#\ ##0\ </c:formatCode>
                <c:ptCount val="12"/>
                <c:pt idx="0">
                  <c:v>623919431.04999995</c:v>
                </c:pt>
                <c:pt idx="1">
                  <c:v>1270885258.4899998</c:v>
                </c:pt>
                <c:pt idx="2">
                  <c:v>1936785052.7799997</c:v>
                </c:pt>
                <c:pt idx="3">
                  <c:v>2478779583.2299995</c:v>
                </c:pt>
                <c:pt idx="4">
                  <c:v>3184325100.7199998</c:v>
                </c:pt>
                <c:pt idx="5">
                  <c:v>4050088490.1700001</c:v>
                </c:pt>
                <c:pt idx="6">
                  <c:v>5275114963.1399994</c:v>
                </c:pt>
                <c:pt idx="7">
                  <c:v>5953148836.1499996</c:v>
                </c:pt>
                <c:pt idx="8">
                  <c:v>6825734955.7999992</c:v>
                </c:pt>
                <c:pt idx="9">
                  <c:v>7471346174.3199997</c:v>
                </c:pt>
                <c:pt idx="10">
                  <c:v>8255674132.0699997</c:v>
                </c:pt>
                <c:pt idx="11">
                  <c:v>9293175115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B-4052-82DC-C9274C5AB2F0}"/>
            </c:ext>
          </c:extLst>
        </c:ser>
        <c:ser>
          <c:idx val="1"/>
          <c:order val="1"/>
          <c:tx>
            <c:v>skutečnost 2021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(kum)'!$H$28:$H$39</c:f>
              <c:numCache>
                <c:formatCode>#\ ##0_ ;\-#\ ##0\ </c:formatCode>
                <c:ptCount val="12"/>
                <c:pt idx="0">
                  <c:v>655330022.90999997</c:v>
                </c:pt>
                <c:pt idx="1">
                  <c:v>1261535447.1399999</c:v>
                </c:pt>
                <c:pt idx="2">
                  <c:v>1861043827.03</c:v>
                </c:pt>
                <c:pt idx="3">
                  <c:v>2251268934.5299997</c:v>
                </c:pt>
                <c:pt idx="4">
                  <c:v>2778779064.0900002</c:v>
                </c:pt>
                <c:pt idx="5">
                  <c:v>3585176864.7799997</c:v>
                </c:pt>
                <c:pt idx="6">
                  <c:v>4539380965.6599998</c:v>
                </c:pt>
                <c:pt idx="7">
                  <c:v>5155081932.8800001</c:v>
                </c:pt>
                <c:pt idx="8">
                  <c:v>5871126247.5900002</c:v>
                </c:pt>
                <c:pt idx="9">
                  <c:v>6436239066.5799999</c:v>
                </c:pt>
                <c:pt idx="10">
                  <c:v>7090726747</c:v>
                </c:pt>
                <c:pt idx="11">
                  <c:v>8071844116.8700008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B-4052-82DC-C9274C5AB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2032"/>
        <c:axId val="291660352"/>
      </c:lineChart>
      <c:catAx>
        <c:axId val="2907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1660352"/>
        <c:crosses val="autoZero"/>
        <c:auto val="1"/>
        <c:lblAlgn val="ctr"/>
        <c:lblOffset val="100"/>
        <c:noMultiLvlLbl val="0"/>
      </c:catAx>
      <c:valAx>
        <c:axId val="291660352"/>
        <c:scaling>
          <c:orientation val="minMax"/>
          <c:max val="98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2032"/>
        <c:crosses val="autoZero"/>
        <c:crossBetween val="between"/>
        <c:majorUnit val="14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8535757713938287"/>
          <c:w val="0.32086161284437148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'Vývoj2015-24'!$A$8:$A$9</c:f>
              <c:strCache>
                <c:ptCount val="1"/>
                <c:pt idx="0">
                  <c:v>Daň z příjmů FO vybíraná srážkou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'Vývoj2015-24'!$R$3:$AA$3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'Vývoj2015-24'!$R$8:$AA$8</c:f>
              <c:numCache>
                <c:formatCode>#,##0</c:formatCode>
                <c:ptCount val="10"/>
                <c:pt idx="0">
                  <c:v>147290158.72</c:v>
                </c:pt>
                <c:pt idx="1">
                  <c:v>148986032.56999999</c:v>
                </c:pt>
                <c:pt idx="2">
                  <c:v>147150464.68000001</c:v>
                </c:pt>
                <c:pt idx="3">
                  <c:v>163583863.15000001</c:v>
                </c:pt>
                <c:pt idx="4">
                  <c:v>183041506.52000001</c:v>
                </c:pt>
                <c:pt idx="5">
                  <c:v>183637002.17999998</c:v>
                </c:pt>
                <c:pt idx="6">
                  <c:v>231727000.72999999</c:v>
                </c:pt>
                <c:pt idx="7">
                  <c:v>296800935.11000001</c:v>
                </c:pt>
                <c:pt idx="8">
                  <c:v>407336011.3499999</c:v>
                </c:pt>
                <c:pt idx="9">
                  <c:v>423976229.88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3-422F-ABED-1B4963C34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23488"/>
        <c:axId val="213722240"/>
      </c:lineChart>
      <c:catAx>
        <c:axId val="2138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722240"/>
        <c:crosses val="autoZero"/>
        <c:auto val="1"/>
        <c:lblAlgn val="ctr"/>
        <c:lblOffset val="100"/>
        <c:noMultiLvlLbl val="0"/>
      </c:catAx>
      <c:valAx>
        <c:axId val="213722240"/>
        <c:scaling>
          <c:orientation val="minMax"/>
          <c:max val="450000000"/>
          <c:min val="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823488"/>
        <c:crosses val="autoZero"/>
        <c:crossBetween val="between"/>
        <c:majorUnit val="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2012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3790160642570291"/>
          <c:w val="0.78515625"/>
          <c:h val="0.59560642570280997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(měs)'!$K$28:$K$39</c:f>
              <c:numCache>
                <c:formatCode>#\ ##0_ ;\-#\ ##0\ </c:formatCode>
                <c:ptCount val="12"/>
                <c:pt idx="0">
                  <c:v>617439950.80999994</c:v>
                </c:pt>
                <c:pt idx="1">
                  <c:v>565007955.00999999</c:v>
                </c:pt>
                <c:pt idx="2">
                  <c:v>324841381.36000001</c:v>
                </c:pt>
                <c:pt idx="3">
                  <c:v>262917879</c:v>
                </c:pt>
                <c:pt idx="4">
                  <c:v>484731062.94999999</c:v>
                </c:pt>
                <c:pt idx="5">
                  <c:v>394545882.38</c:v>
                </c:pt>
                <c:pt idx="6">
                  <c:v>581667374.86000001</c:v>
                </c:pt>
                <c:pt idx="7">
                  <c:v>527146407.67000002</c:v>
                </c:pt>
                <c:pt idx="8">
                  <c:v>245567485.31</c:v>
                </c:pt>
                <c:pt idx="9">
                  <c:v>433071315.25999999</c:v>
                </c:pt>
                <c:pt idx="10">
                  <c:v>534356000.06999999</c:v>
                </c:pt>
                <c:pt idx="11">
                  <c:v>286641843.52999997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2-4E19-8C3C-A2BE43935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250496"/>
        <c:axId val="222029504"/>
      </c:lineChart>
      <c:catAx>
        <c:axId val="22225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02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029504"/>
        <c:scaling>
          <c:orientation val="minMax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2250496"/>
        <c:crosses val="autoZero"/>
        <c:crossBetween val="between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'2023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(měs)'!$B$28:$B$39</c:f>
              <c:numCache>
                <c:formatCode>#\ ##0_ ;\-#\ ##0\ </c:formatCode>
                <c:ptCount val="12"/>
                <c:pt idx="0">
                  <c:v>60557922.520000003</c:v>
                </c:pt>
                <c:pt idx="1">
                  <c:v>23188640.960000001</c:v>
                </c:pt>
                <c:pt idx="2">
                  <c:v>408539839.23000002</c:v>
                </c:pt>
                <c:pt idx="3">
                  <c:v>94407435.609999999</c:v>
                </c:pt>
                <c:pt idx="4">
                  <c:v>53120381.079999998</c:v>
                </c:pt>
                <c:pt idx="5">
                  <c:v>426100665.89999998</c:v>
                </c:pt>
                <c:pt idx="6">
                  <c:v>893783543.14999998</c:v>
                </c:pt>
                <c:pt idx="7">
                  <c:v>0</c:v>
                </c:pt>
                <c:pt idx="8">
                  <c:v>351968612.04000002</c:v>
                </c:pt>
                <c:pt idx="9">
                  <c:v>92361393.890000001</c:v>
                </c:pt>
                <c:pt idx="10">
                  <c:v>79358060.210000008</c:v>
                </c:pt>
                <c:pt idx="11">
                  <c:v>469787204.96999997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B-4645-A85C-36CFC4453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596416"/>
        <c:axId val="288618688"/>
      </c:lineChart>
      <c:catAx>
        <c:axId val="28959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618688"/>
        <c:crosses val="autoZero"/>
        <c:auto val="1"/>
        <c:lblAlgn val="ctr"/>
        <c:lblOffset val="100"/>
        <c:noMultiLvlLbl val="0"/>
      </c:catAx>
      <c:valAx>
        <c:axId val="288618688"/>
        <c:scaling>
          <c:orientation val="minMax"/>
          <c:max val="980000000.0000001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596416"/>
        <c:crosses val="autoZero"/>
        <c:crossBetween val="between"/>
        <c:majorUnit val="14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(měs)'!$E$28:$E$39</c:f>
              <c:numCache>
                <c:formatCode>#\ ##0_ ;\-#\ ##0\ </c:formatCode>
                <c:ptCount val="12"/>
                <c:pt idx="0">
                  <c:v>466700647.34999996</c:v>
                </c:pt>
                <c:pt idx="1">
                  <c:v>518619536.76999998</c:v>
                </c:pt>
                <c:pt idx="2">
                  <c:v>307173715.31999999</c:v>
                </c:pt>
                <c:pt idx="3">
                  <c:v>342134315.88</c:v>
                </c:pt>
                <c:pt idx="4">
                  <c:v>566016826.93999994</c:v>
                </c:pt>
                <c:pt idx="5">
                  <c:v>361203427.33000004</c:v>
                </c:pt>
                <c:pt idx="6">
                  <c:v>460204035.65999997</c:v>
                </c:pt>
                <c:pt idx="7">
                  <c:v>544575065.66999996</c:v>
                </c:pt>
                <c:pt idx="8">
                  <c:v>301801268.64999998</c:v>
                </c:pt>
                <c:pt idx="9">
                  <c:v>382529016.94999999</c:v>
                </c:pt>
                <c:pt idx="10">
                  <c:v>535469886.17000002</c:v>
                </c:pt>
                <c:pt idx="11">
                  <c:v>529980211.92000002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F-4A81-A016-A9B091392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6704"/>
        <c:axId val="289300480"/>
      </c:lineChart>
      <c:catAx>
        <c:axId val="28845670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0480"/>
        <c:crosses val="autoZero"/>
        <c:auto val="1"/>
        <c:lblAlgn val="ctr"/>
        <c:lblOffset val="100"/>
        <c:noMultiLvlLbl val="0"/>
      </c:catAx>
      <c:valAx>
        <c:axId val="289300480"/>
        <c:scaling>
          <c:orientation val="minMax"/>
          <c:max val="63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6704"/>
        <c:crosses val="autoZero"/>
        <c:crossBetween val="between"/>
        <c:majorUnit val="9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Daň z příjmů </a:t>
            </a:r>
            <a:r>
              <a:rPr lang="cs-CZ" sz="1800"/>
              <a:t>FO</a:t>
            </a:r>
            <a:r>
              <a:rPr lang="en-US" sz="1800"/>
              <a:t>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(měs)'!$B$8:$B$19</c:f>
              <c:numCache>
                <c:formatCode>#\ ##0_ ;\-#\ ##0\ </c:formatCode>
                <c:ptCount val="12"/>
                <c:pt idx="0">
                  <c:v>149006822.40000001</c:v>
                </c:pt>
                <c:pt idx="1">
                  <c:v>142668775.87</c:v>
                </c:pt>
                <c:pt idx="2">
                  <c:v>114427016.06</c:v>
                </c:pt>
                <c:pt idx="3">
                  <c:v>99270690.580000013</c:v>
                </c:pt>
                <c:pt idx="4">
                  <c:v>125344857.15000001</c:v>
                </c:pt>
                <c:pt idx="5">
                  <c:v>149842850.99000001</c:v>
                </c:pt>
                <c:pt idx="6">
                  <c:v>149715622.82999998</c:v>
                </c:pt>
                <c:pt idx="7">
                  <c:v>147754641.77000001</c:v>
                </c:pt>
                <c:pt idx="8">
                  <c:v>117836542.19</c:v>
                </c:pt>
                <c:pt idx="9">
                  <c:v>131637792.44</c:v>
                </c:pt>
                <c:pt idx="10">
                  <c:v>152380761.47999999</c:v>
                </c:pt>
                <c:pt idx="11">
                  <c:v>173363447.88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0-4A09-A2A2-6AD479A28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7728"/>
        <c:axId val="289302208"/>
      </c:lineChart>
      <c:catAx>
        <c:axId val="28845772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2208"/>
        <c:crosses val="autoZero"/>
        <c:auto val="1"/>
        <c:lblAlgn val="ctr"/>
        <c:lblOffset val="100"/>
        <c:noMultiLvlLbl val="0"/>
      </c:catAx>
      <c:valAx>
        <c:axId val="289302208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7728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51181102362204722" l="0.51181102362204722" r="0.51181102362204722" t="0.51181102362204722" header="0.31496062992125984" footer="0.31496062992125984"/>
    <c:pageSetup orientation="portrait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Daň z příjmů FO placená plátci</a:t>
            </a:r>
            <a:r>
              <a:rPr lang="en-US" sz="1500"/>
              <a:t> </a:t>
            </a:r>
            <a:r>
              <a:rPr lang="en-US" sz="1200"/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(měs)'!$E$8:$E$19</c:f>
              <c:numCache>
                <c:formatCode>#\ ##0_ ;\-#\ ##0\ </c:formatCode>
                <c:ptCount val="12"/>
                <c:pt idx="0">
                  <c:v>9177828.5700000003</c:v>
                </c:pt>
                <c:pt idx="1">
                  <c:v>8787447.0399999991</c:v>
                </c:pt>
                <c:pt idx="2">
                  <c:v>7047942.5700000003</c:v>
                </c:pt>
                <c:pt idx="3">
                  <c:v>6114413.8600000003</c:v>
                </c:pt>
                <c:pt idx="4">
                  <c:v>7720408.9199999999</c:v>
                </c:pt>
                <c:pt idx="5">
                  <c:v>9229322.3300000001</c:v>
                </c:pt>
                <c:pt idx="6">
                  <c:v>9221485.9299999997</c:v>
                </c:pt>
                <c:pt idx="7">
                  <c:v>9100702.5300000012</c:v>
                </c:pt>
                <c:pt idx="8">
                  <c:v>9578545.5099999998</c:v>
                </c:pt>
                <c:pt idx="9">
                  <c:v>8376704.5999999996</c:v>
                </c:pt>
                <c:pt idx="10">
                  <c:v>9696673.0099999998</c:v>
                </c:pt>
                <c:pt idx="11">
                  <c:v>11031895.66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4-48F5-965F-9344FAAF6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8240"/>
        <c:axId val="289303936"/>
      </c:lineChart>
      <c:catAx>
        <c:axId val="28845824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3936"/>
        <c:crosses val="autoZero"/>
        <c:auto val="1"/>
        <c:lblAlgn val="ctr"/>
        <c:lblOffset val="100"/>
        <c:noMultiLvlLbl val="0"/>
      </c:catAx>
      <c:valAx>
        <c:axId val="289303936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82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(měs)'!$K$8:$K$19</c:f>
              <c:numCache>
                <c:formatCode>#\ ##0_ ;\-#\ ##0\ </c:formatCode>
                <c:ptCount val="12"/>
                <c:pt idx="0">
                  <c:v>31706626</c:v>
                </c:pt>
                <c:pt idx="1">
                  <c:v>32712074.349999998</c:v>
                </c:pt>
                <c:pt idx="2">
                  <c:v>25635325.850000001</c:v>
                </c:pt>
                <c:pt idx="3">
                  <c:v>27177984.280000001</c:v>
                </c:pt>
                <c:pt idx="4">
                  <c:v>29394447.479999997</c:v>
                </c:pt>
                <c:pt idx="5">
                  <c:v>33839624.030000001</c:v>
                </c:pt>
                <c:pt idx="6">
                  <c:v>41336035.740000002</c:v>
                </c:pt>
                <c:pt idx="7">
                  <c:v>39947724.549999997</c:v>
                </c:pt>
                <c:pt idx="8">
                  <c:v>45371842.519999996</c:v>
                </c:pt>
                <c:pt idx="9">
                  <c:v>32147659.890000001</c:v>
                </c:pt>
                <c:pt idx="10">
                  <c:v>34690800.259999998</c:v>
                </c:pt>
                <c:pt idx="11">
                  <c:v>33375866.399999999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4-4795-91E5-993A02878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9264"/>
        <c:axId val="289305664"/>
      </c:lineChart>
      <c:catAx>
        <c:axId val="28845926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5664"/>
        <c:crosses val="autoZero"/>
        <c:auto val="1"/>
        <c:lblAlgn val="ctr"/>
        <c:lblOffset val="100"/>
        <c:noMultiLvlLbl val="0"/>
      </c:catAx>
      <c:valAx>
        <c:axId val="289305664"/>
        <c:scaling>
          <c:orientation val="minMax"/>
          <c:max val="49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9264"/>
        <c:crosses val="autoZero"/>
        <c:crossBetween val="between"/>
        <c:majorUnit val="7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(měs)'!$H$8:$H$19</c:f>
              <c:numCache>
                <c:formatCode>#\ ##0_ ;\-#\ ##0\ </c:formatCode>
                <c:ptCount val="12"/>
                <c:pt idx="0">
                  <c:v>8099954.6499999994</c:v>
                </c:pt>
                <c:pt idx="1">
                  <c:v>5265718.1999999993</c:v>
                </c:pt>
                <c:pt idx="2">
                  <c:v>12602534.07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42835906.990000002</c:v>
                </c:pt>
                <c:pt idx="7">
                  <c:v>0</c:v>
                </c:pt>
                <c:pt idx="8">
                  <c:v>20174749.620000001</c:v>
                </c:pt>
                <c:pt idx="9">
                  <c:v>9573206.4299999997</c:v>
                </c:pt>
                <c:pt idx="10">
                  <c:v>8262671.6999999993</c:v>
                </c:pt>
                <c:pt idx="11">
                  <c:v>34330441.780000001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5-4E16-BB7F-08DD6AA3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60288"/>
        <c:axId val="289307392"/>
      </c:lineChart>
      <c:catAx>
        <c:axId val="2884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7392"/>
        <c:crosses val="autoZero"/>
        <c:auto val="1"/>
        <c:lblAlgn val="ctr"/>
        <c:lblOffset val="100"/>
        <c:noMultiLvlLbl val="0"/>
      </c:catAx>
      <c:valAx>
        <c:axId val="289307392"/>
        <c:scaling>
          <c:orientation val="minMax"/>
          <c:max val="49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60288"/>
        <c:crosses val="autoZero"/>
        <c:crossBetween val="between"/>
        <c:majorUnit val="7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</a:t>
            </a:r>
            <a:r>
              <a:rPr lang="cs-CZ"/>
              <a:t>23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2023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(měs)'!$H$28:$H$39</c:f>
              <c:numCache>
                <c:formatCode>#\ ##0_ ;\-#\ ##0\ </c:formatCode>
                <c:ptCount val="12"/>
                <c:pt idx="0">
                  <c:v>725249801.49000001</c:v>
                </c:pt>
                <c:pt idx="1">
                  <c:v>731242193.18999994</c:v>
                </c:pt>
                <c:pt idx="2">
                  <c:v>875426373.0999999</c:v>
                </c:pt>
                <c:pt idx="3">
                  <c:v>569104840.21000004</c:v>
                </c:pt>
                <c:pt idx="4">
                  <c:v>781596921.56999993</c:v>
                </c:pt>
                <c:pt idx="5">
                  <c:v>980215890.58000004</c:v>
                </c:pt>
                <c:pt idx="6">
                  <c:v>1597096630.2999997</c:v>
                </c:pt>
                <c:pt idx="7">
                  <c:v>741378134.51999998</c:v>
                </c:pt>
                <c:pt idx="8">
                  <c:v>846731560.52999997</c:v>
                </c:pt>
                <c:pt idx="9">
                  <c:v>656625774.20000005</c:v>
                </c:pt>
                <c:pt idx="10">
                  <c:v>819858852.82999992</c:v>
                </c:pt>
                <c:pt idx="11">
                  <c:v>1251869068.6099999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F-47B9-B7AC-DAA2E2BF7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1632"/>
        <c:axId val="290226752"/>
      </c:lineChart>
      <c:catAx>
        <c:axId val="290181632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6752"/>
        <c:crosses val="autoZero"/>
        <c:auto val="1"/>
        <c:lblAlgn val="ctr"/>
        <c:lblOffset val="100"/>
        <c:noMultiLvlLbl val="0"/>
      </c:catAx>
      <c:valAx>
        <c:axId val="290226752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163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(kum)'!$B$28:$B$39</c:f>
              <c:numCache>
                <c:formatCode>#\ ##0_ ;\-#\ ##0\ </c:formatCode>
                <c:ptCount val="12"/>
                <c:pt idx="0">
                  <c:v>60557922.520000003</c:v>
                </c:pt>
                <c:pt idx="1">
                  <c:v>83746563.480000004</c:v>
                </c:pt>
                <c:pt idx="2">
                  <c:v>492286402.71000004</c:v>
                </c:pt>
                <c:pt idx="3">
                  <c:v>586693838.32000005</c:v>
                </c:pt>
                <c:pt idx="4">
                  <c:v>639814219.4000001</c:v>
                </c:pt>
                <c:pt idx="5">
                  <c:v>1065914885.3000001</c:v>
                </c:pt>
                <c:pt idx="6">
                  <c:v>1959698428.45</c:v>
                </c:pt>
                <c:pt idx="7">
                  <c:v>1959698428.45</c:v>
                </c:pt>
                <c:pt idx="8">
                  <c:v>2311667040.4900002</c:v>
                </c:pt>
                <c:pt idx="9">
                  <c:v>2404028434.3800001</c:v>
                </c:pt>
                <c:pt idx="10">
                  <c:v>2483386494.5900002</c:v>
                </c:pt>
                <c:pt idx="11">
                  <c:v>2953173699.5599999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0-472A-BA01-C269CD466317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(kum)'!$C$28:$C$39</c:f>
              <c:numCache>
                <c:formatCode>#\ ##0_ ;\-#\ ##0\ </c:formatCode>
                <c:ptCount val="12"/>
                <c:pt idx="0">
                  <c:v>222564166.66666666</c:v>
                </c:pt>
                <c:pt idx="1">
                  <c:v>445128333.33333331</c:v>
                </c:pt>
                <c:pt idx="2">
                  <c:v>667692500</c:v>
                </c:pt>
                <c:pt idx="3">
                  <c:v>890256666.66666663</c:v>
                </c:pt>
                <c:pt idx="4">
                  <c:v>1112820833.3333333</c:v>
                </c:pt>
                <c:pt idx="5">
                  <c:v>1335385000</c:v>
                </c:pt>
                <c:pt idx="6">
                  <c:v>1557949166.6666665</c:v>
                </c:pt>
                <c:pt idx="7">
                  <c:v>1780513333.3333333</c:v>
                </c:pt>
                <c:pt idx="8">
                  <c:v>2003077500</c:v>
                </c:pt>
                <c:pt idx="9">
                  <c:v>2225641666.6666665</c:v>
                </c:pt>
                <c:pt idx="10">
                  <c:v>2448205833.333333</c:v>
                </c:pt>
                <c:pt idx="11">
                  <c:v>2670770000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0-472A-BA01-C269CD466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2000"/>
        <c:axId val="290228480"/>
      </c:lineChart>
      <c:catAx>
        <c:axId val="2897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8480"/>
        <c:crosses val="autoZero"/>
        <c:auto val="1"/>
        <c:lblAlgn val="ctr"/>
        <c:lblOffset val="100"/>
        <c:noMultiLvlLbl val="0"/>
      </c:catAx>
      <c:valAx>
        <c:axId val="290228480"/>
        <c:scaling>
          <c:orientation val="minMax"/>
          <c:max val="31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2000"/>
        <c:crosses val="autoZero"/>
        <c:crossBetween val="between"/>
        <c:majorUnit val="4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25159642401023"/>
          <c:y val="0.29018359390705828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5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(kum)'!$B$8:$B$19</c:f>
              <c:numCache>
                <c:formatCode>#\ ##0_ ;\-#\ ##0\ </c:formatCode>
                <c:ptCount val="12"/>
                <c:pt idx="0">
                  <c:v>149006822.40000001</c:v>
                </c:pt>
                <c:pt idx="1">
                  <c:v>291675598.26999998</c:v>
                </c:pt>
                <c:pt idx="2">
                  <c:v>406102614.32999998</c:v>
                </c:pt>
                <c:pt idx="3">
                  <c:v>505373304.90999997</c:v>
                </c:pt>
                <c:pt idx="4">
                  <c:v>630718162.05999994</c:v>
                </c:pt>
                <c:pt idx="5">
                  <c:v>780561013.04999995</c:v>
                </c:pt>
                <c:pt idx="6">
                  <c:v>930276635.87999988</c:v>
                </c:pt>
                <c:pt idx="7">
                  <c:v>1078031277.6499999</c:v>
                </c:pt>
                <c:pt idx="8">
                  <c:v>1195867819.8399999</c:v>
                </c:pt>
                <c:pt idx="9">
                  <c:v>1327505612.28</c:v>
                </c:pt>
                <c:pt idx="10">
                  <c:v>1479886373.76</c:v>
                </c:pt>
                <c:pt idx="11">
                  <c:v>1653249821.6399999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F-4C26-946F-4E449A1AFFAC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(kum)'!$C$8:$C$19</c:f>
              <c:numCache>
                <c:formatCode>#\ ##0_ ;\-#\ ##0\ </c:formatCode>
                <c:ptCount val="12"/>
                <c:pt idx="0">
                  <c:v>131452166.66666667</c:v>
                </c:pt>
                <c:pt idx="1">
                  <c:v>262904333.33333334</c:v>
                </c:pt>
                <c:pt idx="2">
                  <c:v>394356500</c:v>
                </c:pt>
                <c:pt idx="3">
                  <c:v>525808666.66666669</c:v>
                </c:pt>
                <c:pt idx="4">
                  <c:v>657260833.33333337</c:v>
                </c:pt>
                <c:pt idx="5">
                  <c:v>788713000</c:v>
                </c:pt>
                <c:pt idx="6">
                  <c:v>920165166.66666675</c:v>
                </c:pt>
                <c:pt idx="7">
                  <c:v>1051617333.3333334</c:v>
                </c:pt>
                <c:pt idx="8">
                  <c:v>1183069500</c:v>
                </c:pt>
                <c:pt idx="9">
                  <c:v>1314521666.6666667</c:v>
                </c:pt>
                <c:pt idx="10">
                  <c:v>1445973833.3333335</c:v>
                </c:pt>
                <c:pt idx="11">
                  <c:v>1577426000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F-4C26-946F-4E449A1AF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4192"/>
        <c:axId val="290230208"/>
      </c:lineChart>
      <c:catAx>
        <c:axId val="290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0208"/>
        <c:crosses val="autoZero"/>
        <c:auto val="1"/>
        <c:lblAlgn val="ctr"/>
        <c:lblOffset val="100"/>
        <c:noMultiLvlLbl val="0"/>
      </c:catAx>
      <c:valAx>
        <c:axId val="290230208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419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862981207808794"/>
          <c:y val="0.28568043397817372"/>
          <c:w val="0.38633643495712461"/>
          <c:h val="8.72279976754697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(kum)'!$E$28:$E$39</c:f>
              <c:numCache>
                <c:formatCode>#\ ##0_ ;\-#\ ##0\ </c:formatCode>
                <c:ptCount val="12"/>
                <c:pt idx="0">
                  <c:v>466700647.34999996</c:v>
                </c:pt>
                <c:pt idx="1">
                  <c:v>985320184.11999989</c:v>
                </c:pt>
                <c:pt idx="2">
                  <c:v>1292493899.4399998</c:v>
                </c:pt>
                <c:pt idx="3">
                  <c:v>1634628215.3199997</c:v>
                </c:pt>
                <c:pt idx="4">
                  <c:v>2200645042.2599998</c:v>
                </c:pt>
                <c:pt idx="5">
                  <c:v>2561848469.5899997</c:v>
                </c:pt>
                <c:pt idx="6">
                  <c:v>3022052505.2499995</c:v>
                </c:pt>
                <c:pt idx="7">
                  <c:v>3566627570.9199996</c:v>
                </c:pt>
                <c:pt idx="8">
                  <c:v>3868428839.5699997</c:v>
                </c:pt>
                <c:pt idx="9">
                  <c:v>4250957856.5199995</c:v>
                </c:pt>
                <c:pt idx="10">
                  <c:v>4786427742.6899996</c:v>
                </c:pt>
                <c:pt idx="11">
                  <c:v>5316407954.6099997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3-40E8-B45D-9296FF04F056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(kum)'!$F$28:$F$39</c:f>
              <c:numCache>
                <c:formatCode>#\ ##0_ ;\-#\ ##0\ </c:formatCode>
                <c:ptCount val="12"/>
                <c:pt idx="0">
                  <c:v>442252833.33333331</c:v>
                </c:pt>
                <c:pt idx="1">
                  <c:v>884505666.66666663</c:v>
                </c:pt>
                <c:pt idx="2">
                  <c:v>1326758500</c:v>
                </c:pt>
                <c:pt idx="3">
                  <c:v>1769011333.3333333</c:v>
                </c:pt>
                <c:pt idx="4">
                  <c:v>2211264166.6666665</c:v>
                </c:pt>
                <c:pt idx="5">
                  <c:v>2653517000</c:v>
                </c:pt>
                <c:pt idx="6">
                  <c:v>3095769833.333333</c:v>
                </c:pt>
                <c:pt idx="7">
                  <c:v>3538022666.6666665</c:v>
                </c:pt>
                <c:pt idx="8">
                  <c:v>3980275500</c:v>
                </c:pt>
                <c:pt idx="9">
                  <c:v>4422528333.333333</c:v>
                </c:pt>
                <c:pt idx="10">
                  <c:v>4864781166.666666</c:v>
                </c:pt>
                <c:pt idx="11">
                  <c:v>5307034000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3-40E8-B45D-9296FF04F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3536"/>
        <c:axId val="290231936"/>
      </c:lineChart>
      <c:catAx>
        <c:axId val="2897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1936"/>
        <c:crosses val="autoZero"/>
        <c:auto val="1"/>
        <c:lblAlgn val="ctr"/>
        <c:lblOffset val="100"/>
        <c:noMultiLvlLbl val="0"/>
      </c:catAx>
      <c:valAx>
        <c:axId val="290231936"/>
        <c:scaling>
          <c:orientation val="minMax"/>
          <c:max val="63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3536"/>
        <c:crosses val="autoZero"/>
        <c:crossBetween val="between"/>
        <c:majorUnit val="9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83707352672871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07"/>
          <c:y val="0.19821849593495941"/>
          <c:w val="0.80000153186567835"/>
          <c:h val="0.53886077235772367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chemeClr val="tx2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(kum)'!$E$28:$E$39</c:f>
              <c:numCache>
                <c:formatCode>#\ ##0_ ;\-#\ ##0\ </c:formatCode>
                <c:ptCount val="12"/>
                <c:pt idx="0">
                  <c:v>202023767</c:v>
                </c:pt>
                <c:pt idx="1">
                  <c:v>209601962</c:v>
                </c:pt>
                <c:pt idx="2">
                  <c:v>435748946</c:v>
                </c:pt>
                <c:pt idx="3">
                  <c:v>495392391</c:v>
                </c:pt>
                <c:pt idx="4">
                  <c:v>495392391</c:v>
                </c:pt>
                <c:pt idx="5">
                  <c:v>728087949</c:v>
                </c:pt>
                <c:pt idx="6">
                  <c:v>980685727</c:v>
                </c:pt>
                <c:pt idx="7">
                  <c:v>980685727</c:v>
                </c:pt>
                <c:pt idx="8">
                  <c:v>1073572727</c:v>
                </c:pt>
                <c:pt idx="9">
                  <c:v>1203306948</c:v>
                </c:pt>
                <c:pt idx="10">
                  <c:v>1214296350</c:v>
                </c:pt>
                <c:pt idx="11">
                  <c:v>1271060771.3900001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2-47BF-A60C-657EB58FA2E5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(kum)'!$F$28:$F$39</c:f>
              <c:numCache>
                <c:formatCode>#\ ##0_ ;\-#\ ##0\ </c:formatCode>
                <c:ptCount val="12"/>
                <c:pt idx="0">
                  <c:v>96511583.333333328</c:v>
                </c:pt>
                <c:pt idx="1">
                  <c:v>193023166.66666666</c:v>
                </c:pt>
                <c:pt idx="2">
                  <c:v>289534750</c:v>
                </c:pt>
                <c:pt idx="3">
                  <c:v>386046333.33333331</c:v>
                </c:pt>
                <c:pt idx="4">
                  <c:v>482557916.66666663</c:v>
                </c:pt>
                <c:pt idx="5">
                  <c:v>579069500</c:v>
                </c:pt>
                <c:pt idx="6">
                  <c:v>675581083.33333325</c:v>
                </c:pt>
                <c:pt idx="7">
                  <c:v>772092666.66666663</c:v>
                </c:pt>
                <c:pt idx="8">
                  <c:v>868604250</c:v>
                </c:pt>
                <c:pt idx="9">
                  <c:v>965115833.33333325</c:v>
                </c:pt>
                <c:pt idx="10">
                  <c:v>1061627416.6666666</c:v>
                </c:pt>
                <c:pt idx="11">
                  <c:v>1158139000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2-47BF-A60C-657EB58FA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448128"/>
        <c:axId val="222031232"/>
      </c:lineChart>
      <c:catAx>
        <c:axId val="22244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2031232"/>
        <c:crosses val="autoZero"/>
        <c:auto val="1"/>
        <c:lblAlgn val="ctr"/>
        <c:lblOffset val="100"/>
        <c:noMultiLvlLbl val="0"/>
      </c:catAx>
      <c:valAx>
        <c:axId val="222031232"/>
        <c:scaling>
          <c:orientation val="minMax"/>
          <c:max val="15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2448128"/>
        <c:crosses val="autoZero"/>
        <c:crossBetween val="between"/>
        <c:majorUnit val="150000000"/>
      </c:valAx>
    </c:plotArea>
    <c:legend>
      <c:legendPos val="b"/>
      <c:overlay val="0"/>
      <c:txPr>
        <a:bodyPr/>
        <a:lstStyle/>
        <a:p>
          <a:pPr>
            <a:defRPr b="1" i="0" baseline="0"/>
          </a:pPr>
          <a:endParaRPr lang="cs-CZ"/>
        </a:p>
      </c:txPr>
    </c:legend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</a:t>
            </a:r>
            <a:r>
              <a:rPr lang="cs-CZ" sz="1500" b="1">
                <a:solidFill>
                  <a:srgbClr val="000000"/>
                </a:solidFill>
              </a:rPr>
              <a:t>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(kum)'!$E$8:$E$19</c:f>
              <c:numCache>
                <c:formatCode>#\ ##0_ ;\-#\ ##0\ </c:formatCode>
                <c:ptCount val="12"/>
                <c:pt idx="0">
                  <c:v>9177828.5700000003</c:v>
                </c:pt>
                <c:pt idx="1">
                  <c:v>17965275.609999999</c:v>
                </c:pt>
                <c:pt idx="2">
                  <c:v>25013218.18</c:v>
                </c:pt>
                <c:pt idx="3">
                  <c:v>31127632.039999999</c:v>
                </c:pt>
                <c:pt idx="4">
                  <c:v>38848040.960000001</c:v>
                </c:pt>
                <c:pt idx="5">
                  <c:v>48077363.289999999</c:v>
                </c:pt>
                <c:pt idx="6">
                  <c:v>57298849.219999999</c:v>
                </c:pt>
                <c:pt idx="7">
                  <c:v>66399551.75</c:v>
                </c:pt>
                <c:pt idx="8">
                  <c:v>75978097.260000005</c:v>
                </c:pt>
                <c:pt idx="9">
                  <c:v>84354801.859999999</c:v>
                </c:pt>
                <c:pt idx="10">
                  <c:v>94051474.870000005</c:v>
                </c:pt>
                <c:pt idx="11">
                  <c:v>105083370.53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E-48E4-8AB6-D42A5EE0A6F8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(kum)'!$F$8:$F$19</c:f>
              <c:numCache>
                <c:formatCode>#\ ##0_ ;\-#\ ##0\ </c:formatCode>
                <c:ptCount val="12"/>
                <c:pt idx="0">
                  <c:v>8098833.333333333</c:v>
                </c:pt>
                <c:pt idx="1">
                  <c:v>16197666.666666666</c:v>
                </c:pt>
                <c:pt idx="2">
                  <c:v>24296500</c:v>
                </c:pt>
                <c:pt idx="3">
                  <c:v>32395333.333333332</c:v>
                </c:pt>
                <c:pt idx="4">
                  <c:v>40494166.666666664</c:v>
                </c:pt>
                <c:pt idx="5">
                  <c:v>48593000</c:v>
                </c:pt>
                <c:pt idx="6">
                  <c:v>56691833.333333328</c:v>
                </c:pt>
                <c:pt idx="7">
                  <c:v>64790666.666666664</c:v>
                </c:pt>
                <c:pt idx="8">
                  <c:v>72889500</c:v>
                </c:pt>
                <c:pt idx="9">
                  <c:v>80988333.333333328</c:v>
                </c:pt>
                <c:pt idx="10">
                  <c:v>89087166.666666657</c:v>
                </c:pt>
                <c:pt idx="11">
                  <c:v>97186000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E-48E4-8AB6-D42A5EE0A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4560"/>
        <c:axId val="290233664"/>
      </c:lineChart>
      <c:catAx>
        <c:axId val="2897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3664"/>
        <c:crosses val="autoZero"/>
        <c:auto val="1"/>
        <c:lblAlgn val="ctr"/>
        <c:lblOffset val="100"/>
        <c:noMultiLvlLbl val="0"/>
      </c:catAx>
      <c:valAx>
        <c:axId val="290233664"/>
        <c:scaling>
          <c:orientation val="minMax"/>
          <c:max val="112000000.0000000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4560"/>
        <c:crosses val="autoZero"/>
        <c:crossBetween val="between"/>
        <c:majorUnit val="16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14796569968983"/>
          <c:y val="0.27570575938044983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(kum)'!$K$8:$K$19</c:f>
              <c:numCache>
                <c:formatCode>#\ ##0_ ;\-#\ ##0\ </c:formatCode>
                <c:ptCount val="12"/>
                <c:pt idx="0">
                  <c:v>31706626</c:v>
                </c:pt>
                <c:pt idx="1">
                  <c:v>64418700.349999994</c:v>
                </c:pt>
                <c:pt idx="2">
                  <c:v>90054026.199999988</c:v>
                </c:pt>
                <c:pt idx="3">
                  <c:v>117232010.47999999</c:v>
                </c:pt>
                <c:pt idx="4">
                  <c:v>146626457.95999998</c:v>
                </c:pt>
                <c:pt idx="5">
                  <c:v>180466081.98999998</c:v>
                </c:pt>
                <c:pt idx="6">
                  <c:v>221802117.72999999</c:v>
                </c:pt>
                <c:pt idx="7">
                  <c:v>261749842.27999997</c:v>
                </c:pt>
                <c:pt idx="8">
                  <c:v>307121684.79999995</c:v>
                </c:pt>
                <c:pt idx="9">
                  <c:v>339269344.68999994</c:v>
                </c:pt>
                <c:pt idx="10">
                  <c:v>373960144.94999993</c:v>
                </c:pt>
                <c:pt idx="11">
                  <c:v>407336011.3499999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3-45B9-804D-D3F485FA345B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(kum)'!$L$8:$L$19</c:f>
              <c:numCache>
                <c:formatCode>#\ ##0_ ;\-#\ ##0\ </c:formatCode>
                <c:ptCount val="12"/>
                <c:pt idx="0">
                  <c:v>30868333.333333332</c:v>
                </c:pt>
                <c:pt idx="1">
                  <c:v>61736666.666666664</c:v>
                </c:pt>
                <c:pt idx="2">
                  <c:v>92605000</c:v>
                </c:pt>
                <c:pt idx="3">
                  <c:v>123473333.33333333</c:v>
                </c:pt>
                <c:pt idx="4">
                  <c:v>154341666.66666666</c:v>
                </c:pt>
                <c:pt idx="5">
                  <c:v>185210000</c:v>
                </c:pt>
                <c:pt idx="6">
                  <c:v>216078333.33333331</c:v>
                </c:pt>
                <c:pt idx="7">
                  <c:v>246946666.66666666</c:v>
                </c:pt>
                <c:pt idx="8">
                  <c:v>277815000</c:v>
                </c:pt>
                <c:pt idx="9">
                  <c:v>308683333.33333331</c:v>
                </c:pt>
                <c:pt idx="10">
                  <c:v>339551666.66666663</c:v>
                </c:pt>
                <c:pt idx="11">
                  <c:v>370420000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3-45B9-804D-D3F485FA3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5584"/>
        <c:axId val="290489472"/>
      </c:lineChart>
      <c:catAx>
        <c:axId val="2897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89472"/>
        <c:crosses val="autoZero"/>
        <c:auto val="1"/>
        <c:lblAlgn val="ctr"/>
        <c:lblOffset val="100"/>
        <c:noMultiLvlLbl val="0"/>
      </c:catAx>
      <c:valAx>
        <c:axId val="290489472"/>
        <c:scaling>
          <c:orientation val="minMax"/>
          <c:max val="4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5584"/>
        <c:crosses val="autoZero"/>
        <c:crossBetween val="between"/>
        <c:majorUnit val="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45885787265097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(kum)'!$H$8:$H$19</c:f>
              <c:numCache>
                <c:formatCode>#\ ##0_ ;\-#\ ##0\ </c:formatCode>
                <c:ptCount val="12"/>
                <c:pt idx="0">
                  <c:v>8099954.6499999994</c:v>
                </c:pt>
                <c:pt idx="1">
                  <c:v>13365672.849999998</c:v>
                </c:pt>
                <c:pt idx="2">
                  <c:v>25968206.919999998</c:v>
                </c:pt>
                <c:pt idx="3">
                  <c:v>25968206.919999998</c:v>
                </c:pt>
                <c:pt idx="4">
                  <c:v>25968206.919999998</c:v>
                </c:pt>
                <c:pt idx="5">
                  <c:v>25968206.919999998</c:v>
                </c:pt>
                <c:pt idx="6">
                  <c:v>68804113.909999996</c:v>
                </c:pt>
                <c:pt idx="7">
                  <c:v>68804113.909999996</c:v>
                </c:pt>
                <c:pt idx="8">
                  <c:v>88978863.530000001</c:v>
                </c:pt>
                <c:pt idx="9">
                  <c:v>98552069.960000008</c:v>
                </c:pt>
                <c:pt idx="10">
                  <c:v>106814741.66000001</c:v>
                </c:pt>
                <c:pt idx="11">
                  <c:v>141145183.44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6-4AEF-A9BD-A335CE9C2B66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(kum)'!$I$8:$I$19</c:f>
              <c:numCache>
                <c:formatCode>#\ ##0_ ;\-#\ ##0\ </c:formatCode>
                <c:ptCount val="12"/>
                <c:pt idx="0">
                  <c:v>9829666.666666666</c:v>
                </c:pt>
                <c:pt idx="1">
                  <c:v>19659333.333333332</c:v>
                </c:pt>
                <c:pt idx="2">
                  <c:v>29489000</c:v>
                </c:pt>
                <c:pt idx="3">
                  <c:v>39318666.666666664</c:v>
                </c:pt>
                <c:pt idx="4">
                  <c:v>49148333.333333328</c:v>
                </c:pt>
                <c:pt idx="5">
                  <c:v>58978000</c:v>
                </c:pt>
                <c:pt idx="6">
                  <c:v>68807666.666666657</c:v>
                </c:pt>
                <c:pt idx="7">
                  <c:v>78637333.333333328</c:v>
                </c:pt>
                <c:pt idx="8">
                  <c:v>88467000</c:v>
                </c:pt>
                <c:pt idx="9">
                  <c:v>98296666.666666657</c:v>
                </c:pt>
                <c:pt idx="10">
                  <c:v>108126333.33333333</c:v>
                </c:pt>
                <c:pt idx="11">
                  <c:v>117956000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6-4AEF-A9BD-A335CE9C2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8800"/>
        <c:axId val="290491200"/>
      </c:lineChart>
      <c:catAx>
        <c:axId val="290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1200"/>
        <c:crosses val="autoZero"/>
        <c:auto val="1"/>
        <c:lblAlgn val="ctr"/>
        <c:lblOffset val="100"/>
        <c:noMultiLvlLbl val="0"/>
      </c:catAx>
      <c:valAx>
        <c:axId val="290491200"/>
        <c:scaling>
          <c:orientation val="minMax"/>
          <c:max val="147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8800"/>
        <c:crosses val="autoZero"/>
        <c:crossBetween val="between"/>
        <c:majorUnit val="21000000"/>
        <c:minorUnit val="27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66611932129175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2023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(kum)'!$H$28:$H$39</c:f>
              <c:numCache>
                <c:formatCode>#\ ##0_ ;\-#\ ##0\ </c:formatCode>
                <c:ptCount val="12"/>
                <c:pt idx="0">
                  <c:v>725249801.49000001</c:v>
                </c:pt>
                <c:pt idx="1">
                  <c:v>1456491994.6799998</c:v>
                </c:pt>
                <c:pt idx="2">
                  <c:v>2331918367.7799997</c:v>
                </c:pt>
                <c:pt idx="3">
                  <c:v>2901023207.9899998</c:v>
                </c:pt>
                <c:pt idx="4">
                  <c:v>3682620129.5599995</c:v>
                </c:pt>
                <c:pt idx="5">
                  <c:v>4662836020.1399994</c:v>
                </c:pt>
                <c:pt idx="6">
                  <c:v>6259932650.4399986</c:v>
                </c:pt>
                <c:pt idx="7">
                  <c:v>7001310784.9599991</c:v>
                </c:pt>
                <c:pt idx="8">
                  <c:v>7848042345.4899998</c:v>
                </c:pt>
                <c:pt idx="9">
                  <c:v>8504668119.6899996</c:v>
                </c:pt>
                <c:pt idx="10">
                  <c:v>9324526972.5200005</c:v>
                </c:pt>
                <c:pt idx="11">
                  <c:v>10576396041.130001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F-40CB-B4ED-E521ED224160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(kum)'!$I$28:$I$39</c:f>
              <c:numCache>
                <c:formatCode>#\ ##0_ ;\-#\ ##0\ </c:formatCode>
                <c:ptCount val="12"/>
                <c:pt idx="0">
                  <c:v>845066000</c:v>
                </c:pt>
                <c:pt idx="1">
                  <c:v>1690132000</c:v>
                </c:pt>
                <c:pt idx="2">
                  <c:v>2535198000</c:v>
                </c:pt>
                <c:pt idx="3">
                  <c:v>3380264000</c:v>
                </c:pt>
                <c:pt idx="4">
                  <c:v>4225330000</c:v>
                </c:pt>
                <c:pt idx="5">
                  <c:v>5070396000</c:v>
                </c:pt>
                <c:pt idx="6">
                  <c:v>5915462000</c:v>
                </c:pt>
                <c:pt idx="7">
                  <c:v>6760528000</c:v>
                </c:pt>
                <c:pt idx="8">
                  <c:v>7605594000</c:v>
                </c:pt>
                <c:pt idx="9">
                  <c:v>8450660000</c:v>
                </c:pt>
                <c:pt idx="10">
                  <c:v>9295726000</c:v>
                </c:pt>
                <c:pt idx="11">
                  <c:v>10140792000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F-40CB-B4ED-E521ED224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9824"/>
        <c:axId val="290492928"/>
      </c:lineChart>
      <c:catAx>
        <c:axId val="2908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2928"/>
        <c:crosses val="autoZero"/>
        <c:auto val="1"/>
        <c:lblAlgn val="ctr"/>
        <c:lblOffset val="100"/>
        <c:noMultiLvlLbl val="0"/>
      </c:catAx>
      <c:valAx>
        <c:axId val="290492928"/>
        <c:scaling>
          <c:orientation val="minMax"/>
          <c:max val="11200000000.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9824"/>
        <c:crosses val="autoZero"/>
        <c:crossBetween val="between"/>
        <c:majorUnit val="1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152618135376754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2023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(kum)'!$B$28:$B$39</c:f>
              <c:numCache>
                <c:formatCode>#\ ##0_ ;\-#\ ##0\ </c:formatCode>
                <c:ptCount val="12"/>
                <c:pt idx="0">
                  <c:v>60557922.520000003</c:v>
                </c:pt>
                <c:pt idx="1">
                  <c:v>83746563.480000004</c:v>
                </c:pt>
                <c:pt idx="2">
                  <c:v>492286402.71000004</c:v>
                </c:pt>
                <c:pt idx="3">
                  <c:v>586693838.32000005</c:v>
                </c:pt>
                <c:pt idx="4">
                  <c:v>639814219.4000001</c:v>
                </c:pt>
                <c:pt idx="5">
                  <c:v>1065914885.3000001</c:v>
                </c:pt>
                <c:pt idx="6">
                  <c:v>1959698428.45</c:v>
                </c:pt>
                <c:pt idx="7">
                  <c:v>1959698428.45</c:v>
                </c:pt>
                <c:pt idx="8">
                  <c:v>2311667040.4900002</c:v>
                </c:pt>
                <c:pt idx="9">
                  <c:v>2404028434.3800001</c:v>
                </c:pt>
                <c:pt idx="10">
                  <c:v>2483386494.5900002</c:v>
                </c:pt>
                <c:pt idx="11">
                  <c:v>2953173699.5599999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4-4DF2-90A2-27ACFECA5662}"/>
            </c:ext>
          </c:extLst>
        </c:ser>
        <c:ser>
          <c:idx val="1"/>
          <c:order val="1"/>
          <c:tx>
            <c:v>skutečnost 2022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(kum)'!$B$28:$B$39</c:f>
              <c:numCache>
                <c:formatCode>#\ ##0_ ;\-#\ ##0\ </c:formatCode>
                <c:ptCount val="12"/>
                <c:pt idx="0">
                  <c:v>46010065.100000001</c:v>
                </c:pt>
                <c:pt idx="1">
                  <c:v>62245777.82</c:v>
                </c:pt>
                <c:pt idx="2">
                  <c:v>387994817.14999998</c:v>
                </c:pt>
                <c:pt idx="3">
                  <c:v>474348481</c:v>
                </c:pt>
                <c:pt idx="4">
                  <c:v>519177144.79000002</c:v>
                </c:pt>
                <c:pt idx="5">
                  <c:v>873264992.01999998</c:v>
                </c:pt>
                <c:pt idx="6">
                  <c:v>1422395251.6799998</c:v>
                </c:pt>
                <c:pt idx="7">
                  <c:v>1422395251.6799998</c:v>
                </c:pt>
                <c:pt idx="8">
                  <c:v>1770759122.8799999</c:v>
                </c:pt>
                <c:pt idx="9">
                  <c:v>1836633070.76</c:v>
                </c:pt>
                <c:pt idx="10">
                  <c:v>1843233950.1199999</c:v>
                </c:pt>
                <c:pt idx="11">
                  <c:v>2243851139.6099997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4-4DF2-90A2-27ACFECA5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91456"/>
        <c:axId val="290494656"/>
      </c:lineChart>
      <c:catAx>
        <c:axId val="2206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4656"/>
        <c:crosses val="autoZero"/>
        <c:auto val="1"/>
        <c:lblAlgn val="ctr"/>
        <c:lblOffset val="100"/>
        <c:noMultiLvlLbl val="0"/>
      </c:catAx>
      <c:valAx>
        <c:axId val="290494656"/>
        <c:scaling>
          <c:orientation val="minMax"/>
          <c:max val="31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91456"/>
        <c:crosses val="autoZero"/>
        <c:crossBetween val="between"/>
        <c:majorUnit val="4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68076081007112"/>
          <c:y val="0.29490540056212627"/>
          <c:w val="0.32086161284437148"/>
          <c:h val="0.154934827306509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2023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(kum)'!$B$8:$B$19</c:f>
              <c:numCache>
                <c:formatCode>#\ ##0_ ;\-#\ ##0\ </c:formatCode>
                <c:ptCount val="12"/>
                <c:pt idx="0">
                  <c:v>149006822.40000001</c:v>
                </c:pt>
                <c:pt idx="1">
                  <c:v>291675598.26999998</c:v>
                </c:pt>
                <c:pt idx="2">
                  <c:v>406102614.32999998</c:v>
                </c:pt>
                <c:pt idx="3">
                  <c:v>505373304.90999997</c:v>
                </c:pt>
                <c:pt idx="4">
                  <c:v>630718162.05999994</c:v>
                </c:pt>
                <c:pt idx="5">
                  <c:v>780561013.04999995</c:v>
                </c:pt>
                <c:pt idx="6">
                  <c:v>930276635.87999988</c:v>
                </c:pt>
                <c:pt idx="7">
                  <c:v>1078031277.6499999</c:v>
                </c:pt>
                <c:pt idx="8">
                  <c:v>1195867819.8399999</c:v>
                </c:pt>
                <c:pt idx="9">
                  <c:v>1327505612.28</c:v>
                </c:pt>
                <c:pt idx="10">
                  <c:v>1479886373.76</c:v>
                </c:pt>
                <c:pt idx="11">
                  <c:v>1653249821.6399999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6-40FD-A377-33323FFB9EC2}"/>
            </c:ext>
          </c:extLst>
        </c:ser>
        <c:ser>
          <c:idx val="1"/>
          <c:order val="1"/>
          <c:tx>
            <c:v>skutečnost 2022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(kum)'!$B$8:$B$19</c:f>
              <c:numCache>
                <c:formatCode>#\ ##0_ ;\-#\ ##0\ </c:formatCode>
                <c:ptCount val="12"/>
                <c:pt idx="0">
                  <c:v>140979932.11000001</c:v>
                </c:pt>
                <c:pt idx="1">
                  <c:v>246053427.27000001</c:v>
                </c:pt>
                <c:pt idx="2">
                  <c:v>324300265.97000003</c:v>
                </c:pt>
                <c:pt idx="3">
                  <c:v>405569197.06000006</c:v>
                </c:pt>
                <c:pt idx="4">
                  <c:v>500660886.08000004</c:v>
                </c:pt>
                <c:pt idx="5">
                  <c:v>628773832.48000002</c:v>
                </c:pt>
                <c:pt idx="6">
                  <c:v>762543198.35000002</c:v>
                </c:pt>
                <c:pt idx="7">
                  <c:v>884122243.68000007</c:v>
                </c:pt>
                <c:pt idx="8">
                  <c:v>1014655548.0200001</c:v>
                </c:pt>
                <c:pt idx="9">
                  <c:v>1137926728.75</c:v>
                </c:pt>
                <c:pt idx="10">
                  <c:v>1270886417.1300001</c:v>
                </c:pt>
                <c:pt idx="11">
                  <c:v>1432105719.3400002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6-40FD-A377-33323FFB9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8272"/>
        <c:axId val="290955264"/>
      </c:lineChart>
      <c:catAx>
        <c:axId val="22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5264"/>
        <c:crosses val="autoZero"/>
        <c:auto val="1"/>
        <c:lblAlgn val="ctr"/>
        <c:lblOffset val="100"/>
        <c:noMultiLvlLbl val="0"/>
      </c:catAx>
      <c:valAx>
        <c:axId val="290955264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827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88802225871192"/>
          <c:y val="0.28535757713938287"/>
          <c:w val="0.32086161284437148"/>
          <c:h val="0.1693087855297157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2023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(kum)'!$E$28:$E$39</c:f>
              <c:numCache>
                <c:formatCode>#\ ##0_ ;\-#\ ##0\ </c:formatCode>
                <c:ptCount val="12"/>
                <c:pt idx="0">
                  <c:v>466700647.34999996</c:v>
                </c:pt>
                <c:pt idx="1">
                  <c:v>985320184.11999989</c:v>
                </c:pt>
                <c:pt idx="2">
                  <c:v>1292493899.4399998</c:v>
                </c:pt>
                <c:pt idx="3">
                  <c:v>1634628215.3199997</c:v>
                </c:pt>
                <c:pt idx="4">
                  <c:v>2200645042.2599998</c:v>
                </c:pt>
                <c:pt idx="5">
                  <c:v>2561848469.5899997</c:v>
                </c:pt>
                <c:pt idx="6">
                  <c:v>3022052505.2499995</c:v>
                </c:pt>
                <c:pt idx="7">
                  <c:v>3566627570.9199996</c:v>
                </c:pt>
                <c:pt idx="8">
                  <c:v>3868428839.5699997</c:v>
                </c:pt>
                <c:pt idx="9">
                  <c:v>4250957856.5199995</c:v>
                </c:pt>
                <c:pt idx="10">
                  <c:v>4786427742.6899996</c:v>
                </c:pt>
                <c:pt idx="11">
                  <c:v>5316407954.6099997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E-48E9-934A-27959A60B1EF}"/>
            </c:ext>
          </c:extLst>
        </c:ser>
        <c:ser>
          <c:idx val="1"/>
          <c:order val="1"/>
          <c:tx>
            <c:v>skutečnost 2022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(kum)'!$E$28:$E$39</c:f>
              <c:numCache>
                <c:formatCode>#\ ##0_ ;\-#\ ##0\ </c:formatCode>
                <c:ptCount val="12"/>
                <c:pt idx="0">
                  <c:v>400740891.81999999</c:v>
                </c:pt>
                <c:pt idx="1">
                  <c:v>892652455.61999989</c:v>
                </c:pt>
                <c:pt idx="2">
                  <c:v>1119624625.4599998</c:v>
                </c:pt>
                <c:pt idx="3">
                  <c:v>1470043675.5699997</c:v>
                </c:pt>
                <c:pt idx="4">
                  <c:v>2008358521.7199998</c:v>
                </c:pt>
                <c:pt idx="5">
                  <c:v>2360533887.5</c:v>
                </c:pt>
                <c:pt idx="6">
                  <c:v>2819909470.1300001</c:v>
                </c:pt>
                <c:pt idx="7">
                  <c:v>3336672958</c:v>
                </c:pt>
                <c:pt idx="8">
                  <c:v>3671398306.9499998</c:v>
                </c:pt>
                <c:pt idx="9">
                  <c:v>4088994969.1999998</c:v>
                </c:pt>
                <c:pt idx="10">
                  <c:v>4693852944.54</c:v>
                </c:pt>
                <c:pt idx="11">
                  <c:v>5098668513.0900002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E-48E9-934A-27959A60B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296"/>
        <c:axId val="290956992"/>
      </c:lineChart>
      <c:catAx>
        <c:axId val="220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6992"/>
        <c:crosses val="autoZero"/>
        <c:auto val="1"/>
        <c:lblAlgn val="ctr"/>
        <c:lblOffset val="100"/>
        <c:noMultiLvlLbl val="0"/>
      </c:catAx>
      <c:valAx>
        <c:axId val="290956992"/>
        <c:scaling>
          <c:orientation val="minMax"/>
          <c:max val="56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296"/>
        <c:crosses val="autoZero"/>
        <c:crossBetween val="between"/>
        <c:majorUnit val="8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36986863711003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2023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(kum)'!$E$8:$E$19</c:f>
              <c:numCache>
                <c:formatCode>#\ ##0_ ;\-#\ ##0\ </c:formatCode>
                <c:ptCount val="12"/>
                <c:pt idx="0">
                  <c:v>9177828.5700000003</c:v>
                </c:pt>
                <c:pt idx="1">
                  <c:v>17965275.609999999</c:v>
                </c:pt>
                <c:pt idx="2">
                  <c:v>25013218.18</c:v>
                </c:pt>
                <c:pt idx="3">
                  <c:v>31127632.039999999</c:v>
                </c:pt>
                <c:pt idx="4">
                  <c:v>38848040.960000001</c:v>
                </c:pt>
                <c:pt idx="5">
                  <c:v>48077363.289999999</c:v>
                </c:pt>
                <c:pt idx="6">
                  <c:v>57298849.219999999</c:v>
                </c:pt>
                <c:pt idx="7">
                  <c:v>66399551.75</c:v>
                </c:pt>
                <c:pt idx="8">
                  <c:v>75978097.260000005</c:v>
                </c:pt>
                <c:pt idx="9">
                  <c:v>84354801.859999999</c:v>
                </c:pt>
                <c:pt idx="10">
                  <c:v>94051474.870000005</c:v>
                </c:pt>
                <c:pt idx="11">
                  <c:v>105083370.53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4-47A3-851A-E4B5306829B4}"/>
            </c:ext>
          </c:extLst>
        </c:ser>
        <c:ser>
          <c:idx val="1"/>
          <c:order val="1"/>
          <c:tx>
            <c:v>skutečnost 2022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(kum)'!$E$8:$E$19</c:f>
              <c:numCache>
                <c:formatCode>#\ ##0_ ;\-#\ ##0\ </c:formatCode>
                <c:ptCount val="12"/>
                <c:pt idx="0">
                  <c:v>8746900.7100000009</c:v>
                </c:pt>
                <c:pt idx="1">
                  <c:v>15266037.260000002</c:v>
                </c:pt>
                <c:pt idx="2">
                  <c:v>20120751.800000001</c:v>
                </c:pt>
                <c:pt idx="3">
                  <c:v>25162967.789999999</c:v>
                </c:pt>
                <c:pt idx="4">
                  <c:v>31062797.239999998</c:v>
                </c:pt>
                <c:pt idx="5">
                  <c:v>39011383.989999995</c:v>
                </c:pt>
                <c:pt idx="6">
                  <c:v>47310915.249999993</c:v>
                </c:pt>
                <c:pt idx="7">
                  <c:v>54854115.319999993</c:v>
                </c:pt>
                <c:pt idx="8">
                  <c:v>62520304.969999991</c:v>
                </c:pt>
                <c:pt idx="9">
                  <c:v>70112989.239999995</c:v>
                </c:pt>
                <c:pt idx="10">
                  <c:v>78302421.089999989</c:v>
                </c:pt>
                <c:pt idx="11">
                  <c:v>88232457.109999985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4-47A3-851A-E4B530682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808"/>
        <c:axId val="290958720"/>
      </c:lineChart>
      <c:catAx>
        <c:axId val="2205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8720"/>
        <c:crosses val="autoZero"/>
        <c:auto val="1"/>
        <c:lblAlgn val="ctr"/>
        <c:lblOffset val="100"/>
        <c:noMultiLvlLbl val="0"/>
      </c:catAx>
      <c:valAx>
        <c:axId val="290958720"/>
        <c:scaling>
          <c:orientation val="minMax"/>
          <c:max val="112000000.0000000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808"/>
        <c:crosses val="autoZero"/>
        <c:crossBetween val="between"/>
        <c:majorUnit val="16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7570565435476518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2023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(kum)'!$K$8:$K$19</c:f>
              <c:numCache>
                <c:formatCode>#\ ##0_ ;\-#\ ##0\ </c:formatCode>
                <c:ptCount val="12"/>
                <c:pt idx="0">
                  <c:v>31706626</c:v>
                </c:pt>
                <c:pt idx="1">
                  <c:v>64418700.349999994</c:v>
                </c:pt>
                <c:pt idx="2">
                  <c:v>90054026.199999988</c:v>
                </c:pt>
                <c:pt idx="3">
                  <c:v>117232010.47999999</c:v>
                </c:pt>
                <c:pt idx="4">
                  <c:v>146626457.95999998</c:v>
                </c:pt>
                <c:pt idx="5">
                  <c:v>180466081.98999998</c:v>
                </c:pt>
                <c:pt idx="6">
                  <c:v>221802117.72999999</c:v>
                </c:pt>
                <c:pt idx="7">
                  <c:v>261749842.27999997</c:v>
                </c:pt>
                <c:pt idx="8">
                  <c:v>307121684.79999995</c:v>
                </c:pt>
                <c:pt idx="9">
                  <c:v>339269344.68999994</c:v>
                </c:pt>
                <c:pt idx="10">
                  <c:v>373960144.94999993</c:v>
                </c:pt>
                <c:pt idx="11">
                  <c:v>407336011.3499999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E-474D-A4B0-CDA7764B4F8E}"/>
            </c:ext>
          </c:extLst>
        </c:ser>
        <c:ser>
          <c:idx val="1"/>
          <c:order val="1"/>
          <c:tx>
            <c:v>skutečnost 2022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(kum)'!$K$8:$K$19</c:f>
              <c:numCache>
                <c:formatCode>#\ ##0_ ;\-#\ ##0\ </c:formatCode>
                <c:ptCount val="12"/>
                <c:pt idx="0">
                  <c:v>20064782.27</c:v>
                </c:pt>
                <c:pt idx="1">
                  <c:v>43704701.650000006</c:v>
                </c:pt>
                <c:pt idx="2">
                  <c:v>59879723.600000009</c:v>
                </c:pt>
                <c:pt idx="3">
                  <c:v>78790393.010000005</c:v>
                </c:pt>
                <c:pt idx="4">
                  <c:v>100200882.09</c:v>
                </c:pt>
                <c:pt idx="5">
                  <c:v>123639525.38</c:v>
                </c:pt>
                <c:pt idx="6">
                  <c:v>153820110.03999999</c:v>
                </c:pt>
                <c:pt idx="7">
                  <c:v>185968249.78</c:v>
                </c:pt>
                <c:pt idx="8">
                  <c:v>216478027.56</c:v>
                </c:pt>
                <c:pt idx="9">
                  <c:v>240258797.56999999</c:v>
                </c:pt>
                <c:pt idx="10">
                  <c:v>266429259.04999998</c:v>
                </c:pt>
                <c:pt idx="11">
                  <c:v>296800935.10999995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E-474D-A4B0-CDA7764B4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01856"/>
        <c:axId val="290960448"/>
      </c:lineChart>
      <c:catAx>
        <c:axId val="2206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0448"/>
        <c:crosses val="autoZero"/>
        <c:auto val="1"/>
        <c:lblAlgn val="ctr"/>
        <c:lblOffset val="100"/>
        <c:noMultiLvlLbl val="0"/>
      </c:catAx>
      <c:valAx>
        <c:axId val="290960448"/>
        <c:scaling>
          <c:orientation val="minMax"/>
          <c:max val="4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01856"/>
        <c:crosses val="autoZero"/>
        <c:crossBetween val="between"/>
        <c:majorUnit val="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09528370735266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2023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(kum)'!$H$8:$H$19</c:f>
              <c:numCache>
                <c:formatCode>#\ ##0_ ;\-#\ ##0\ </c:formatCode>
                <c:ptCount val="12"/>
                <c:pt idx="0">
                  <c:v>8099954.6499999994</c:v>
                </c:pt>
                <c:pt idx="1">
                  <c:v>13365672.849999998</c:v>
                </c:pt>
                <c:pt idx="2">
                  <c:v>25968206.919999998</c:v>
                </c:pt>
                <c:pt idx="3">
                  <c:v>25968206.919999998</c:v>
                </c:pt>
                <c:pt idx="4">
                  <c:v>25968206.919999998</c:v>
                </c:pt>
                <c:pt idx="5">
                  <c:v>25968206.919999998</c:v>
                </c:pt>
                <c:pt idx="6">
                  <c:v>68804113.909999996</c:v>
                </c:pt>
                <c:pt idx="7">
                  <c:v>68804113.909999996</c:v>
                </c:pt>
                <c:pt idx="8">
                  <c:v>88978863.530000001</c:v>
                </c:pt>
                <c:pt idx="9">
                  <c:v>98552069.960000008</c:v>
                </c:pt>
                <c:pt idx="10">
                  <c:v>106814741.66000001</c:v>
                </c:pt>
                <c:pt idx="11">
                  <c:v>141145183.44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B-4C8D-9E2D-E410963C707D}"/>
            </c:ext>
          </c:extLst>
        </c:ser>
        <c:ser>
          <c:idx val="1"/>
          <c:order val="1"/>
          <c:tx>
            <c:v>skutečnost 2022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(kum)'!$H$8:$H$19</c:f>
              <c:numCache>
                <c:formatCode>#\ ##0_ ;\-#\ ##0\ </c:formatCode>
                <c:ptCount val="12"/>
                <c:pt idx="0">
                  <c:v>7376859.04</c:v>
                </c:pt>
                <c:pt idx="1">
                  <c:v>10962858.870000001</c:v>
                </c:pt>
                <c:pt idx="2">
                  <c:v>24864868.800000001</c:v>
                </c:pt>
                <c:pt idx="3">
                  <c:v>24864868.800000001</c:v>
                </c:pt>
                <c:pt idx="4">
                  <c:v>24864868.800000001</c:v>
                </c:pt>
                <c:pt idx="5">
                  <c:v>24864868.800000001</c:v>
                </c:pt>
                <c:pt idx="6">
                  <c:v>69136017.689999998</c:v>
                </c:pt>
                <c:pt idx="7">
                  <c:v>69136017.689999998</c:v>
                </c:pt>
                <c:pt idx="8">
                  <c:v>89923645.420000002</c:v>
                </c:pt>
                <c:pt idx="9">
                  <c:v>97419618.799999997</c:v>
                </c:pt>
                <c:pt idx="10">
                  <c:v>102969140.14</c:v>
                </c:pt>
                <c:pt idx="11">
                  <c:v>133516350.74000001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B-4C8D-9E2D-E410963C7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0496"/>
        <c:axId val="290962176"/>
      </c:lineChart>
      <c:catAx>
        <c:axId val="2907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2176"/>
        <c:crosses val="autoZero"/>
        <c:auto val="1"/>
        <c:lblAlgn val="ctr"/>
        <c:lblOffset val="100"/>
        <c:noMultiLvlLbl val="0"/>
      </c:catAx>
      <c:valAx>
        <c:axId val="290962176"/>
        <c:scaling>
          <c:orientation val="minMax"/>
          <c:max val="147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0496"/>
        <c:crosses val="autoZero"/>
        <c:crossBetween val="between"/>
        <c:majorUnit val="21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50980660463418"/>
          <c:y val="0.28535757713938287"/>
          <c:w val="0.31796524356869182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19338888888888889"/>
          <c:w val="0.800781250000002"/>
          <c:h val="0.55505990629183488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(kum)'!$H$28:$H$39</c:f>
              <c:numCache>
                <c:formatCode>#\ ##0_ ;\-#\ ##0\ </c:formatCode>
                <c:ptCount val="12"/>
                <c:pt idx="0">
                  <c:v>228682755</c:v>
                </c:pt>
                <c:pt idx="1">
                  <c:v>646400790</c:v>
                </c:pt>
                <c:pt idx="2">
                  <c:v>646400790</c:v>
                </c:pt>
                <c:pt idx="3">
                  <c:v>769603653</c:v>
                </c:pt>
                <c:pt idx="4">
                  <c:v>1159550012</c:v>
                </c:pt>
                <c:pt idx="5">
                  <c:v>1203538704</c:v>
                </c:pt>
                <c:pt idx="6">
                  <c:v>1415949269</c:v>
                </c:pt>
                <c:pt idx="7">
                  <c:v>1814125549</c:v>
                </c:pt>
                <c:pt idx="8">
                  <c:v>1871557691</c:v>
                </c:pt>
                <c:pt idx="9">
                  <c:v>2064424219</c:v>
                </c:pt>
                <c:pt idx="10">
                  <c:v>2462294153</c:v>
                </c:pt>
                <c:pt idx="11">
                  <c:v>2565161272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4-4883-97F0-B0EF9C595B32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(kum)'!$I$28:$I$39</c:f>
              <c:numCache>
                <c:formatCode>#\ ##0_ ;\-#\ ##0\ </c:formatCode>
                <c:ptCount val="12"/>
                <c:pt idx="0">
                  <c:v>234843083.33333334</c:v>
                </c:pt>
                <c:pt idx="1">
                  <c:v>469686166.66666669</c:v>
                </c:pt>
                <c:pt idx="2">
                  <c:v>704529250</c:v>
                </c:pt>
                <c:pt idx="3">
                  <c:v>939372333.33333337</c:v>
                </c:pt>
                <c:pt idx="4">
                  <c:v>1174215416.6666667</c:v>
                </c:pt>
                <c:pt idx="5">
                  <c:v>1409058500</c:v>
                </c:pt>
                <c:pt idx="6">
                  <c:v>1643901583.3333335</c:v>
                </c:pt>
                <c:pt idx="7">
                  <c:v>1878744666.6666667</c:v>
                </c:pt>
                <c:pt idx="8">
                  <c:v>2113587750</c:v>
                </c:pt>
                <c:pt idx="9">
                  <c:v>2348430833.3333335</c:v>
                </c:pt>
                <c:pt idx="10">
                  <c:v>2583273916.666667</c:v>
                </c:pt>
                <c:pt idx="11">
                  <c:v>2818117000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4-4883-97F0-B0EF9C595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11680"/>
        <c:axId val="222032960"/>
      </c:lineChart>
      <c:catAx>
        <c:axId val="2215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03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032960"/>
        <c:scaling>
          <c:orientation val="minMax"/>
          <c:max val="30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1511680"/>
        <c:crosses val="autoZero"/>
        <c:crossBetween val="between"/>
        <c:majorUnit val="300000000"/>
        <c:min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Sdílené daně</a:t>
            </a:r>
            <a:r>
              <a:rPr lang="cs-CZ" sz="1800" b="1" baseline="0">
                <a:solidFill>
                  <a:srgbClr val="000000"/>
                </a:solidFill>
              </a:rPr>
              <a:t> města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2023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(kum)'!$H$28:$H$39</c:f>
              <c:numCache>
                <c:formatCode>#\ ##0_ ;\-#\ ##0\ </c:formatCode>
                <c:ptCount val="12"/>
                <c:pt idx="0">
                  <c:v>725249801.49000001</c:v>
                </c:pt>
                <c:pt idx="1">
                  <c:v>1456491994.6799998</c:v>
                </c:pt>
                <c:pt idx="2">
                  <c:v>2331918367.7799997</c:v>
                </c:pt>
                <c:pt idx="3">
                  <c:v>2901023207.9899998</c:v>
                </c:pt>
                <c:pt idx="4">
                  <c:v>3682620129.5599995</c:v>
                </c:pt>
                <c:pt idx="5">
                  <c:v>4662836020.1399994</c:v>
                </c:pt>
                <c:pt idx="6">
                  <c:v>6259932650.4399986</c:v>
                </c:pt>
                <c:pt idx="7">
                  <c:v>7001310784.9599991</c:v>
                </c:pt>
                <c:pt idx="8">
                  <c:v>7848042345.4899998</c:v>
                </c:pt>
                <c:pt idx="9">
                  <c:v>8504668119.6899996</c:v>
                </c:pt>
                <c:pt idx="10">
                  <c:v>9324526972.5200005</c:v>
                </c:pt>
                <c:pt idx="11">
                  <c:v>10576396041.130001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B-46F2-8A25-97E702B18D0D}"/>
            </c:ext>
          </c:extLst>
        </c:ser>
        <c:ser>
          <c:idx val="1"/>
          <c:order val="1"/>
          <c:tx>
            <c:v>skutečnost 2022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(kum)'!$H$28:$H$39</c:f>
              <c:numCache>
                <c:formatCode>#\ ##0_ ;\-#\ ##0\ </c:formatCode>
                <c:ptCount val="12"/>
                <c:pt idx="0">
                  <c:v>623919431.04999995</c:v>
                </c:pt>
                <c:pt idx="1">
                  <c:v>1270885258.4899998</c:v>
                </c:pt>
                <c:pt idx="2">
                  <c:v>1936785052.7799997</c:v>
                </c:pt>
                <c:pt idx="3">
                  <c:v>2478779583.2299995</c:v>
                </c:pt>
                <c:pt idx="4">
                  <c:v>3184325100.7199998</c:v>
                </c:pt>
                <c:pt idx="5">
                  <c:v>4050088490.1700001</c:v>
                </c:pt>
                <c:pt idx="6">
                  <c:v>5275114963.1399994</c:v>
                </c:pt>
                <c:pt idx="7">
                  <c:v>5953148836.1499996</c:v>
                </c:pt>
                <c:pt idx="8">
                  <c:v>6825734955.7999992</c:v>
                </c:pt>
                <c:pt idx="9">
                  <c:v>7471346174.3199997</c:v>
                </c:pt>
                <c:pt idx="10">
                  <c:v>8255674132.0699997</c:v>
                </c:pt>
                <c:pt idx="11">
                  <c:v>9293175115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B-46F2-8A25-97E702B18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2032"/>
        <c:axId val="291660352"/>
      </c:lineChart>
      <c:catAx>
        <c:axId val="2907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1660352"/>
        <c:crosses val="autoZero"/>
        <c:auto val="1"/>
        <c:lblAlgn val="ctr"/>
        <c:lblOffset val="100"/>
        <c:noMultiLvlLbl val="0"/>
      </c:catAx>
      <c:valAx>
        <c:axId val="291660352"/>
        <c:scaling>
          <c:orientation val="minMax"/>
          <c:max val="11200000000.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2032"/>
        <c:crosses val="autoZero"/>
        <c:crossBetween val="between"/>
        <c:majorUnit val="1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8535757713938287"/>
          <c:w val="0.32086161284437148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'2024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(měs)'!$B$28:$B$39</c:f>
              <c:numCache>
                <c:formatCode>#\ ##0_ ;\-#\ ##0\ </c:formatCode>
                <c:ptCount val="12"/>
                <c:pt idx="0">
                  <c:v>48404110.170000002</c:v>
                </c:pt>
                <c:pt idx="1">
                  <c:v>20833760.890000001</c:v>
                </c:pt>
                <c:pt idx="2">
                  <c:v>473487135.99000001</c:v>
                </c:pt>
                <c:pt idx="3">
                  <c:v>71955674.989999995</c:v>
                </c:pt>
                <c:pt idx="4">
                  <c:v>61161808.859999999</c:v>
                </c:pt>
                <c:pt idx="5">
                  <c:v>369545839.65999997</c:v>
                </c:pt>
                <c:pt idx="6">
                  <c:v>606257758.67000008</c:v>
                </c:pt>
                <c:pt idx="7">
                  <c:v>0</c:v>
                </c:pt>
                <c:pt idx="8">
                  <c:v>230914580.38</c:v>
                </c:pt>
                <c:pt idx="9">
                  <c:v>233924189.49000001</c:v>
                </c:pt>
                <c:pt idx="10">
                  <c:v>27125794.530000001</c:v>
                </c:pt>
                <c:pt idx="11">
                  <c:v>482513561.91000003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D-4AAB-A079-5BA7256F9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596416"/>
        <c:axId val="288618688"/>
      </c:lineChart>
      <c:catAx>
        <c:axId val="28959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618688"/>
        <c:crosses val="autoZero"/>
        <c:auto val="1"/>
        <c:lblAlgn val="ctr"/>
        <c:lblOffset val="100"/>
        <c:noMultiLvlLbl val="0"/>
      </c:catAx>
      <c:valAx>
        <c:axId val="288618688"/>
        <c:scaling>
          <c:orientation val="minMax"/>
          <c:max val="980000000.0000001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596416"/>
        <c:crosses val="autoZero"/>
        <c:crossBetween val="between"/>
        <c:majorUnit val="14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(měs)'!$E$28:$E$39</c:f>
              <c:numCache>
                <c:formatCode>#\ ##0_ ;\-#\ ##0\ </c:formatCode>
                <c:ptCount val="12"/>
                <c:pt idx="0">
                  <c:v>461611710.56</c:v>
                </c:pt>
                <c:pt idx="1">
                  <c:v>519858482.94</c:v>
                </c:pt>
                <c:pt idx="2">
                  <c:v>314344991</c:v>
                </c:pt>
                <c:pt idx="3">
                  <c:v>351116449.84000003</c:v>
                </c:pt>
                <c:pt idx="4">
                  <c:v>477436504.19</c:v>
                </c:pt>
                <c:pt idx="5">
                  <c:v>409299030.06999999</c:v>
                </c:pt>
                <c:pt idx="6">
                  <c:v>427251377.31999999</c:v>
                </c:pt>
                <c:pt idx="7">
                  <c:v>498803415.19999999</c:v>
                </c:pt>
                <c:pt idx="8">
                  <c:v>363645824.90999997</c:v>
                </c:pt>
                <c:pt idx="9">
                  <c:v>402524910.64999998</c:v>
                </c:pt>
                <c:pt idx="10">
                  <c:v>556476924.52999997</c:v>
                </c:pt>
                <c:pt idx="11">
                  <c:v>489146464.08999997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9-48F2-83D0-BBD11143B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6704"/>
        <c:axId val="289300480"/>
      </c:lineChart>
      <c:catAx>
        <c:axId val="28845670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0480"/>
        <c:crosses val="autoZero"/>
        <c:auto val="1"/>
        <c:lblAlgn val="ctr"/>
        <c:lblOffset val="100"/>
        <c:noMultiLvlLbl val="0"/>
      </c:catAx>
      <c:valAx>
        <c:axId val="289300480"/>
        <c:scaling>
          <c:orientation val="minMax"/>
          <c:max val="63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6704"/>
        <c:crosses val="autoZero"/>
        <c:crossBetween val="between"/>
        <c:majorUnit val="9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Daň z příjmů </a:t>
            </a:r>
            <a:r>
              <a:rPr lang="cs-CZ" sz="1800"/>
              <a:t>FO</a:t>
            </a:r>
            <a:r>
              <a:rPr lang="en-US" sz="1800"/>
              <a:t>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(měs)'!$B$8:$B$19</c:f>
              <c:numCache>
                <c:formatCode>#\ ##0_ ;\-#\ ##0\ </c:formatCode>
                <c:ptCount val="12"/>
                <c:pt idx="0">
                  <c:v>159348196.32999998</c:v>
                </c:pt>
                <c:pt idx="1">
                  <c:v>147663155.21000001</c:v>
                </c:pt>
                <c:pt idx="2">
                  <c:v>125613846.63</c:v>
                </c:pt>
                <c:pt idx="3">
                  <c:v>113013837.53</c:v>
                </c:pt>
                <c:pt idx="4">
                  <c:v>142189324.00999999</c:v>
                </c:pt>
                <c:pt idx="5">
                  <c:v>155878498.23000002</c:v>
                </c:pt>
                <c:pt idx="6">
                  <c:v>164039306.78</c:v>
                </c:pt>
                <c:pt idx="7">
                  <c:v>162727801.94999999</c:v>
                </c:pt>
                <c:pt idx="8">
                  <c:v>134702238.51999998</c:v>
                </c:pt>
                <c:pt idx="9">
                  <c:v>154641346.68000001</c:v>
                </c:pt>
                <c:pt idx="10">
                  <c:v>158728345.30000001</c:v>
                </c:pt>
                <c:pt idx="11">
                  <c:v>187146898.14000002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4-4840-A959-4F61960DF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7728"/>
        <c:axId val="289302208"/>
      </c:lineChart>
      <c:catAx>
        <c:axId val="28845772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2208"/>
        <c:crosses val="autoZero"/>
        <c:auto val="1"/>
        <c:lblAlgn val="ctr"/>
        <c:lblOffset val="100"/>
        <c:noMultiLvlLbl val="0"/>
      </c:catAx>
      <c:valAx>
        <c:axId val="289302208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7728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51181102362204722" l="0.51181102362204722" r="0.51181102362204722" t="0.51181102362204722" header="0.31496062992125984" footer="0.31496062992125984"/>
    <c:pageSetup orientation="portrait"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Daň z příjmů FO placená plátci</a:t>
            </a:r>
            <a:r>
              <a:rPr lang="en-US" sz="1500"/>
              <a:t> </a:t>
            </a:r>
            <a:r>
              <a:rPr lang="en-US" sz="1200"/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(měs)'!$E$8:$E$19</c:f>
              <c:numCache>
                <c:formatCode>#\ ##0_ ;\-#\ ##0\ </c:formatCode>
                <c:ptCount val="12"/>
                <c:pt idx="0">
                  <c:v>10367156.5</c:v>
                </c:pt>
                <c:pt idx="1">
                  <c:v>9743370.6900000013</c:v>
                </c:pt>
                <c:pt idx="2">
                  <c:v>8288474.3100000005</c:v>
                </c:pt>
                <c:pt idx="3">
                  <c:v>7457078.3200000003</c:v>
                </c:pt>
                <c:pt idx="4">
                  <c:v>9382186.6999999993</c:v>
                </c:pt>
                <c:pt idx="5">
                  <c:v>10285449.98</c:v>
                </c:pt>
                <c:pt idx="6">
                  <c:v>10823930.789999999</c:v>
                </c:pt>
                <c:pt idx="7">
                  <c:v>10737392.779999999</c:v>
                </c:pt>
                <c:pt idx="8">
                  <c:v>9270098.5099999998</c:v>
                </c:pt>
                <c:pt idx="9">
                  <c:v>10251353.9</c:v>
                </c:pt>
                <c:pt idx="10">
                  <c:v>10522285.710000001</c:v>
                </c:pt>
                <c:pt idx="11">
                  <c:v>12406184.5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D-4442-81CD-6C19D14CD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8240"/>
        <c:axId val="289303936"/>
      </c:lineChart>
      <c:catAx>
        <c:axId val="28845824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3936"/>
        <c:crosses val="autoZero"/>
        <c:auto val="1"/>
        <c:lblAlgn val="ctr"/>
        <c:lblOffset val="100"/>
        <c:noMultiLvlLbl val="0"/>
      </c:catAx>
      <c:valAx>
        <c:axId val="289303936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82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(měs)'!$K$8:$K$19</c:f>
              <c:numCache>
                <c:formatCode>#\ ##0_ ;\-#\ ##0\ </c:formatCode>
                <c:ptCount val="12"/>
                <c:pt idx="0">
                  <c:v>34265336.329999998</c:v>
                </c:pt>
                <c:pt idx="1">
                  <c:v>34889809.700000003</c:v>
                </c:pt>
                <c:pt idx="2">
                  <c:v>29598092.759999998</c:v>
                </c:pt>
                <c:pt idx="3">
                  <c:v>25849449.32</c:v>
                </c:pt>
                <c:pt idx="4">
                  <c:v>31258707.200000003</c:v>
                </c:pt>
                <c:pt idx="5">
                  <c:v>33995424.170000002</c:v>
                </c:pt>
                <c:pt idx="6">
                  <c:v>56651296.489999995</c:v>
                </c:pt>
                <c:pt idx="7">
                  <c:v>38971717.420000002</c:v>
                </c:pt>
                <c:pt idx="8">
                  <c:v>41805133.75</c:v>
                </c:pt>
                <c:pt idx="9">
                  <c:v>33677086.390000001</c:v>
                </c:pt>
                <c:pt idx="10">
                  <c:v>30628757.539999999</c:v>
                </c:pt>
                <c:pt idx="11">
                  <c:v>32385418.810000002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B-46CD-A41F-BE9BF4047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9264"/>
        <c:axId val="289305664"/>
      </c:lineChart>
      <c:catAx>
        <c:axId val="28845926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5664"/>
        <c:crosses val="autoZero"/>
        <c:auto val="1"/>
        <c:lblAlgn val="ctr"/>
        <c:lblOffset val="100"/>
        <c:noMultiLvlLbl val="0"/>
      </c:catAx>
      <c:valAx>
        <c:axId val="289305664"/>
        <c:scaling>
          <c:orientation val="minMax"/>
          <c:max val="63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9264"/>
        <c:crosses val="autoZero"/>
        <c:crossBetween val="between"/>
        <c:majorUnit val="9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(měs)'!$H$8:$H$19</c:f>
              <c:numCache>
                <c:formatCode>#\ ##0_ ;\-#\ ##0\ </c:formatCode>
                <c:ptCount val="12"/>
                <c:pt idx="0">
                  <c:v>7777615.9100000001</c:v>
                </c:pt>
                <c:pt idx="1">
                  <c:v>5961653.3699999992</c:v>
                </c:pt>
                <c:pt idx="2">
                  <c:v>11898778.27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39345204.810000002</c:v>
                </c:pt>
                <c:pt idx="7">
                  <c:v>0</c:v>
                </c:pt>
                <c:pt idx="8">
                  <c:v>16289081.17</c:v>
                </c:pt>
                <c:pt idx="9">
                  <c:v>12709381.789999999</c:v>
                </c:pt>
                <c:pt idx="10">
                  <c:v>7634541.1899999995</c:v>
                </c:pt>
                <c:pt idx="11">
                  <c:v>34733602.469999999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1-4A65-8EEC-BCE35EF89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60288"/>
        <c:axId val="289307392"/>
      </c:lineChart>
      <c:catAx>
        <c:axId val="2884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7392"/>
        <c:crosses val="autoZero"/>
        <c:auto val="1"/>
        <c:lblAlgn val="ctr"/>
        <c:lblOffset val="100"/>
        <c:noMultiLvlLbl val="0"/>
      </c:catAx>
      <c:valAx>
        <c:axId val="289307392"/>
        <c:scaling>
          <c:orientation val="minMax"/>
          <c:max val="49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60288"/>
        <c:crosses val="autoZero"/>
        <c:crossBetween val="between"/>
        <c:majorUnit val="7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</a:t>
            </a:r>
            <a:r>
              <a:rPr lang="cs-CZ"/>
              <a:t>24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2024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(měs)'!$H$28:$H$39</c:f>
              <c:numCache>
                <c:formatCode>#\ ##0_ ;\-#\ ##0\ </c:formatCode>
                <c:ptCount val="12"/>
                <c:pt idx="0">
                  <c:v>721774125.79999995</c:v>
                </c:pt>
                <c:pt idx="1">
                  <c:v>738950232.79999995</c:v>
                </c:pt>
                <c:pt idx="2">
                  <c:v>963231318.96000004</c:v>
                </c:pt>
                <c:pt idx="3">
                  <c:v>569392490</c:v>
                </c:pt>
                <c:pt idx="4">
                  <c:v>721428530.96000004</c:v>
                </c:pt>
                <c:pt idx="5">
                  <c:v>979004242.1099999</c:v>
                </c:pt>
                <c:pt idx="6">
                  <c:v>1304368874.8600001</c:v>
                </c:pt>
                <c:pt idx="7">
                  <c:v>711240327.3499999</c:v>
                </c:pt>
                <c:pt idx="8">
                  <c:v>796626957.23999989</c:v>
                </c:pt>
                <c:pt idx="9">
                  <c:v>847728268.89999998</c:v>
                </c:pt>
                <c:pt idx="10">
                  <c:v>791116648.79999995</c:v>
                </c:pt>
                <c:pt idx="11">
                  <c:v>1238332129.9200001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0-491B-85F7-9F24A0869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1632"/>
        <c:axId val="290226752"/>
      </c:lineChart>
      <c:catAx>
        <c:axId val="290181632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6752"/>
        <c:crosses val="autoZero"/>
        <c:auto val="1"/>
        <c:lblAlgn val="ctr"/>
        <c:lblOffset val="100"/>
        <c:noMultiLvlLbl val="0"/>
      </c:catAx>
      <c:valAx>
        <c:axId val="290226752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163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(kum)'!$B$28:$B$39</c:f>
              <c:numCache>
                <c:formatCode>#\ ##0_ ;\-#\ ##0\ </c:formatCode>
                <c:ptCount val="12"/>
                <c:pt idx="0">
                  <c:v>48404110.170000002</c:v>
                </c:pt>
                <c:pt idx="1">
                  <c:v>69237871.060000002</c:v>
                </c:pt>
                <c:pt idx="2">
                  <c:v>542725007.04999995</c:v>
                </c:pt>
                <c:pt idx="3">
                  <c:v>614680682.03999996</c:v>
                </c:pt>
                <c:pt idx="4">
                  <c:v>675842490.89999998</c:v>
                </c:pt>
                <c:pt idx="5">
                  <c:v>1045388330.5599999</c:v>
                </c:pt>
                <c:pt idx="6">
                  <c:v>1651646089.23</c:v>
                </c:pt>
                <c:pt idx="7">
                  <c:v>1651646089.23</c:v>
                </c:pt>
                <c:pt idx="8">
                  <c:v>1882560669.6100001</c:v>
                </c:pt>
                <c:pt idx="9">
                  <c:v>2116484859.1000001</c:v>
                </c:pt>
                <c:pt idx="10">
                  <c:v>2143610653.6300001</c:v>
                </c:pt>
                <c:pt idx="11">
                  <c:v>2626124215.54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2-4109-8DE3-588A4DC8C47A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(kum)'!$C$28:$C$39</c:f>
              <c:numCache>
                <c:formatCode>#\ ##0_ ;\-#\ ##0\ </c:formatCode>
                <c:ptCount val="12"/>
                <c:pt idx="0">
                  <c:v>222557000</c:v>
                </c:pt>
                <c:pt idx="1">
                  <c:v>445114000</c:v>
                </c:pt>
                <c:pt idx="2">
                  <c:v>667671000</c:v>
                </c:pt>
                <c:pt idx="3">
                  <c:v>890228000</c:v>
                </c:pt>
                <c:pt idx="4">
                  <c:v>1112785000</c:v>
                </c:pt>
                <c:pt idx="5">
                  <c:v>1335342000</c:v>
                </c:pt>
                <c:pt idx="6">
                  <c:v>1557899000</c:v>
                </c:pt>
                <c:pt idx="7">
                  <c:v>1780456000</c:v>
                </c:pt>
                <c:pt idx="8">
                  <c:v>2003013000</c:v>
                </c:pt>
                <c:pt idx="9">
                  <c:v>2225570000</c:v>
                </c:pt>
                <c:pt idx="10">
                  <c:v>2448127000</c:v>
                </c:pt>
                <c:pt idx="11">
                  <c:v>2670684000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2-4109-8DE3-588A4DC8C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2000"/>
        <c:axId val="290228480"/>
      </c:lineChart>
      <c:catAx>
        <c:axId val="2897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8480"/>
        <c:crosses val="autoZero"/>
        <c:auto val="1"/>
        <c:lblAlgn val="ctr"/>
        <c:lblOffset val="100"/>
        <c:noMultiLvlLbl val="0"/>
      </c:catAx>
      <c:valAx>
        <c:axId val="290228480"/>
        <c:scaling>
          <c:orientation val="minMax"/>
          <c:max val="31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2000"/>
        <c:crosses val="autoZero"/>
        <c:crossBetween val="between"/>
        <c:majorUnit val="4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25159642401023"/>
          <c:y val="0.29018359390705828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5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(kum)'!$B$8:$B$19</c:f>
              <c:numCache>
                <c:formatCode>#\ ##0_ ;\-#\ ##0\ </c:formatCode>
                <c:ptCount val="12"/>
                <c:pt idx="0">
                  <c:v>159348196.32999998</c:v>
                </c:pt>
                <c:pt idx="1">
                  <c:v>307011351.53999996</c:v>
                </c:pt>
                <c:pt idx="2">
                  <c:v>432625198.16999996</c:v>
                </c:pt>
                <c:pt idx="3">
                  <c:v>545639035.69999993</c:v>
                </c:pt>
                <c:pt idx="4">
                  <c:v>687828359.70999992</c:v>
                </c:pt>
                <c:pt idx="5">
                  <c:v>843706857.93999994</c:v>
                </c:pt>
                <c:pt idx="6">
                  <c:v>1007746164.7199999</c:v>
                </c:pt>
                <c:pt idx="7">
                  <c:v>1170473966.6699998</c:v>
                </c:pt>
                <c:pt idx="8">
                  <c:v>1305176205.1899998</c:v>
                </c:pt>
                <c:pt idx="9">
                  <c:v>1459817551.8699999</c:v>
                </c:pt>
                <c:pt idx="10">
                  <c:v>1618545897.1699998</c:v>
                </c:pt>
                <c:pt idx="11">
                  <c:v>1805692795.3099999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B-4E97-AE22-4E6F823ACC2D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(kum)'!$C$8:$C$19</c:f>
              <c:numCache>
                <c:formatCode>#\ ##0_ ;\-#\ ##0\ </c:formatCode>
                <c:ptCount val="12"/>
                <c:pt idx="0">
                  <c:v>143333833.33333334</c:v>
                </c:pt>
                <c:pt idx="1">
                  <c:v>286667666.66666669</c:v>
                </c:pt>
                <c:pt idx="2">
                  <c:v>430001500</c:v>
                </c:pt>
                <c:pt idx="3">
                  <c:v>573335333.33333337</c:v>
                </c:pt>
                <c:pt idx="4">
                  <c:v>716669166.66666675</c:v>
                </c:pt>
                <c:pt idx="5">
                  <c:v>860003000</c:v>
                </c:pt>
                <c:pt idx="6">
                  <c:v>1003336833.3333334</c:v>
                </c:pt>
                <c:pt idx="7">
                  <c:v>1146670666.6666667</c:v>
                </c:pt>
                <c:pt idx="8">
                  <c:v>1290004500</c:v>
                </c:pt>
                <c:pt idx="9">
                  <c:v>1433338333.3333335</c:v>
                </c:pt>
                <c:pt idx="10">
                  <c:v>1576672166.6666667</c:v>
                </c:pt>
                <c:pt idx="11">
                  <c:v>1720006000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B-4E97-AE22-4E6F823AC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4192"/>
        <c:axId val="290230208"/>
      </c:lineChart>
      <c:catAx>
        <c:axId val="290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0208"/>
        <c:crosses val="autoZero"/>
        <c:auto val="1"/>
        <c:lblAlgn val="ctr"/>
        <c:lblOffset val="100"/>
        <c:noMultiLvlLbl val="0"/>
      </c:catAx>
      <c:valAx>
        <c:axId val="290230208"/>
        <c:scaling>
          <c:orientation val="minMax"/>
          <c:max val="189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4192"/>
        <c:crosses val="autoZero"/>
        <c:crossBetween val="between"/>
        <c:majorUnit val="2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862981207808794"/>
          <c:y val="0.28568043397817372"/>
          <c:w val="0.38633643495712461"/>
          <c:h val="8.72279976754697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1"/>
          <c:y val="0.18427878179384224"/>
          <c:w val="0.8086643835616435"/>
          <c:h val="0.5475478580990628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(kum)'!$B$8:$B$19</c:f>
              <c:numCache>
                <c:formatCode>#\ ##0_ ;\-#\ ##0\ </c:formatCode>
                <c:ptCount val="12"/>
                <c:pt idx="0">
                  <c:v>153821859</c:v>
                </c:pt>
                <c:pt idx="1">
                  <c:v>261320462</c:v>
                </c:pt>
                <c:pt idx="2">
                  <c:v>343753630</c:v>
                </c:pt>
                <c:pt idx="3">
                  <c:v>411614909</c:v>
                </c:pt>
                <c:pt idx="4">
                  <c:v>490742322</c:v>
                </c:pt>
                <c:pt idx="5">
                  <c:v>591841912</c:v>
                </c:pt>
                <c:pt idx="6">
                  <c:v>689255969</c:v>
                </c:pt>
                <c:pt idx="7">
                  <c:v>796933072</c:v>
                </c:pt>
                <c:pt idx="8">
                  <c:v>873911291.23000002</c:v>
                </c:pt>
                <c:pt idx="9">
                  <c:v>968063767.09000003</c:v>
                </c:pt>
                <c:pt idx="10">
                  <c:v>1073356873.49</c:v>
                </c:pt>
                <c:pt idx="11">
                  <c:v>1170846171.22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7-4D91-84DD-302A7B085C64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(kum)'!$C$8:$C$19</c:f>
              <c:numCache>
                <c:formatCode>#\ ##0_ ;\-#\ ##0\ </c:formatCode>
                <c:ptCount val="12"/>
                <c:pt idx="0">
                  <c:v>96342833.333333328</c:v>
                </c:pt>
                <c:pt idx="1">
                  <c:v>192685666.66666666</c:v>
                </c:pt>
                <c:pt idx="2">
                  <c:v>289028500</c:v>
                </c:pt>
                <c:pt idx="3">
                  <c:v>385371333.33333331</c:v>
                </c:pt>
                <c:pt idx="4">
                  <c:v>481714166.66666663</c:v>
                </c:pt>
                <c:pt idx="5">
                  <c:v>578057000</c:v>
                </c:pt>
                <c:pt idx="6">
                  <c:v>674399833.33333325</c:v>
                </c:pt>
                <c:pt idx="7">
                  <c:v>770742666.66666663</c:v>
                </c:pt>
                <c:pt idx="8">
                  <c:v>867085500</c:v>
                </c:pt>
                <c:pt idx="9">
                  <c:v>963428333.33333325</c:v>
                </c:pt>
                <c:pt idx="10">
                  <c:v>1059771166.6666666</c:v>
                </c:pt>
                <c:pt idx="11">
                  <c:v>1156114000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7-4D91-84DD-302A7B085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13216"/>
        <c:axId val="222034688"/>
      </c:lineChart>
      <c:catAx>
        <c:axId val="22151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03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034688"/>
        <c:scaling>
          <c:orientation val="minMax"/>
          <c:max val="135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1513216"/>
        <c:crosses val="autoZero"/>
        <c:crossBetween val="between"/>
        <c:majorUnit val="15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(kum)'!$E$28:$E$39</c:f>
              <c:numCache>
                <c:formatCode>#\ ##0_ ;\-#\ ##0\ </c:formatCode>
                <c:ptCount val="12"/>
                <c:pt idx="0">
                  <c:v>461611710.56</c:v>
                </c:pt>
                <c:pt idx="1">
                  <c:v>981470193.5</c:v>
                </c:pt>
                <c:pt idx="2">
                  <c:v>1295815184.5</c:v>
                </c:pt>
                <c:pt idx="3">
                  <c:v>1646931634.3400002</c:v>
                </c:pt>
                <c:pt idx="4">
                  <c:v>2124368138.5300002</c:v>
                </c:pt>
                <c:pt idx="5">
                  <c:v>2533667168.6000004</c:v>
                </c:pt>
                <c:pt idx="6">
                  <c:v>2960918545.9200006</c:v>
                </c:pt>
                <c:pt idx="7">
                  <c:v>3459721961.1200004</c:v>
                </c:pt>
                <c:pt idx="8">
                  <c:v>3823367786.0300002</c:v>
                </c:pt>
                <c:pt idx="9">
                  <c:v>4225892696.6800003</c:v>
                </c:pt>
                <c:pt idx="10">
                  <c:v>4782369621.21</c:v>
                </c:pt>
                <c:pt idx="11">
                  <c:v>5271516085.3000002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0-41ED-8265-2FBAB3FBD564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(kum)'!$F$28:$F$39</c:f>
              <c:numCache>
                <c:formatCode>#\ ##0_ ;\-#\ ##0\ </c:formatCode>
                <c:ptCount val="12"/>
                <c:pt idx="0">
                  <c:v>448468833.33333331</c:v>
                </c:pt>
                <c:pt idx="1">
                  <c:v>896937666.66666663</c:v>
                </c:pt>
                <c:pt idx="2">
                  <c:v>1345406500</c:v>
                </c:pt>
                <c:pt idx="3">
                  <c:v>1793875333.3333333</c:v>
                </c:pt>
                <c:pt idx="4">
                  <c:v>2242344166.6666665</c:v>
                </c:pt>
                <c:pt idx="5">
                  <c:v>2690813000</c:v>
                </c:pt>
                <c:pt idx="6">
                  <c:v>3139281833.333333</c:v>
                </c:pt>
                <c:pt idx="7">
                  <c:v>3587750666.6666665</c:v>
                </c:pt>
                <c:pt idx="8">
                  <c:v>4036219500</c:v>
                </c:pt>
                <c:pt idx="9">
                  <c:v>4484688333.333333</c:v>
                </c:pt>
                <c:pt idx="10">
                  <c:v>4933157166.666666</c:v>
                </c:pt>
                <c:pt idx="11">
                  <c:v>5381626000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0-41ED-8265-2FBAB3FBD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3536"/>
        <c:axId val="290231936"/>
      </c:lineChart>
      <c:catAx>
        <c:axId val="2897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1936"/>
        <c:crosses val="autoZero"/>
        <c:auto val="1"/>
        <c:lblAlgn val="ctr"/>
        <c:lblOffset val="100"/>
        <c:noMultiLvlLbl val="0"/>
      </c:catAx>
      <c:valAx>
        <c:axId val="290231936"/>
        <c:scaling>
          <c:orientation val="minMax"/>
          <c:max val="63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3536"/>
        <c:crosses val="autoZero"/>
        <c:crossBetween val="between"/>
        <c:majorUnit val="9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83707352672871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</a:t>
            </a:r>
            <a:r>
              <a:rPr lang="cs-CZ" sz="1500" b="1">
                <a:solidFill>
                  <a:srgbClr val="000000"/>
                </a:solidFill>
              </a:rPr>
              <a:t>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(kum)'!$E$8:$E$19</c:f>
              <c:numCache>
                <c:formatCode>#\ ##0_ ;\-#\ ##0\ </c:formatCode>
                <c:ptCount val="12"/>
                <c:pt idx="0">
                  <c:v>10367156.5</c:v>
                </c:pt>
                <c:pt idx="1">
                  <c:v>20110527.190000001</c:v>
                </c:pt>
                <c:pt idx="2">
                  <c:v>28399001.5</c:v>
                </c:pt>
                <c:pt idx="3">
                  <c:v>35856079.82</c:v>
                </c:pt>
                <c:pt idx="4">
                  <c:v>45238266.519999996</c:v>
                </c:pt>
                <c:pt idx="5">
                  <c:v>55523716.5</c:v>
                </c:pt>
                <c:pt idx="6">
                  <c:v>66347647.289999999</c:v>
                </c:pt>
                <c:pt idx="7">
                  <c:v>77085040.069999993</c:v>
                </c:pt>
                <c:pt idx="8">
                  <c:v>86355138.579999998</c:v>
                </c:pt>
                <c:pt idx="9">
                  <c:v>96606492.480000004</c:v>
                </c:pt>
                <c:pt idx="10">
                  <c:v>107128778.19</c:v>
                </c:pt>
                <c:pt idx="11">
                  <c:v>119534962.69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5-4D2B-ABE7-34743DBC8135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(kum)'!$F$8:$F$19</c:f>
              <c:numCache>
                <c:formatCode>#\ ##0_ ;\-#\ ##0\ </c:formatCode>
                <c:ptCount val="12"/>
                <c:pt idx="0">
                  <c:v>9110500</c:v>
                </c:pt>
                <c:pt idx="1">
                  <c:v>18221000</c:v>
                </c:pt>
                <c:pt idx="2">
                  <c:v>27331500</c:v>
                </c:pt>
                <c:pt idx="3">
                  <c:v>36442000</c:v>
                </c:pt>
                <c:pt idx="4">
                  <c:v>45552500</c:v>
                </c:pt>
                <c:pt idx="5">
                  <c:v>54663000</c:v>
                </c:pt>
                <c:pt idx="6">
                  <c:v>63773500</c:v>
                </c:pt>
                <c:pt idx="7">
                  <c:v>72884000</c:v>
                </c:pt>
                <c:pt idx="8">
                  <c:v>81994500</c:v>
                </c:pt>
                <c:pt idx="9">
                  <c:v>91105000</c:v>
                </c:pt>
                <c:pt idx="10">
                  <c:v>100215500</c:v>
                </c:pt>
                <c:pt idx="11">
                  <c:v>109326000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5-4D2B-ABE7-34743DBC8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4560"/>
        <c:axId val="290233664"/>
      </c:lineChart>
      <c:catAx>
        <c:axId val="2897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3664"/>
        <c:crosses val="autoZero"/>
        <c:auto val="1"/>
        <c:lblAlgn val="ctr"/>
        <c:lblOffset val="100"/>
        <c:noMultiLvlLbl val="0"/>
      </c:catAx>
      <c:valAx>
        <c:axId val="290233664"/>
        <c:scaling>
          <c:orientation val="minMax"/>
          <c:max val="14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4560"/>
        <c:crosses val="autoZero"/>
        <c:crossBetween val="between"/>
        <c:majorUnit val="2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14796569968983"/>
          <c:y val="0.27570575938044983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(kum)'!$K$8:$K$19</c:f>
              <c:numCache>
                <c:formatCode>#\ ##0_ ;\-#\ ##0\ </c:formatCode>
                <c:ptCount val="12"/>
                <c:pt idx="0">
                  <c:v>34265336.329999998</c:v>
                </c:pt>
                <c:pt idx="1">
                  <c:v>69155146.030000001</c:v>
                </c:pt>
                <c:pt idx="2">
                  <c:v>98753238.789999992</c:v>
                </c:pt>
                <c:pt idx="3">
                  <c:v>124602688.10999998</c:v>
                </c:pt>
                <c:pt idx="4">
                  <c:v>155861395.31</c:v>
                </c:pt>
                <c:pt idx="5">
                  <c:v>189856819.48000002</c:v>
                </c:pt>
                <c:pt idx="6">
                  <c:v>246508115.97000003</c:v>
                </c:pt>
                <c:pt idx="7">
                  <c:v>285479833.39000005</c:v>
                </c:pt>
                <c:pt idx="8">
                  <c:v>327284967.14000005</c:v>
                </c:pt>
                <c:pt idx="9">
                  <c:v>360962053.53000003</c:v>
                </c:pt>
                <c:pt idx="10">
                  <c:v>391590811.07000005</c:v>
                </c:pt>
                <c:pt idx="11">
                  <c:v>423976229.88000005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2-4CBA-8846-4B4170D03AE3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(kum)'!$L$8:$L$19</c:f>
              <c:numCache>
                <c:formatCode>#\ ##0_ ;\-#\ ##0\ </c:formatCode>
                <c:ptCount val="12"/>
                <c:pt idx="0">
                  <c:v>24733416.666666668</c:v>
                </c:pt>
                <c:pt idx="1">
                  <c:v>49466833.333333336</c:v>
                </c:pt>
                <c:pt idx="2">
                  <c:v>74200250</c:v>
                </c:pt>
                <c:pt idx="3">
                  <c:v>98933666.666666672</c:v>
                </c:pt>
                <c:pt idx="4">
                  <c:v>123667083.33333334</c:v>
                </c:pt>
                <c:pt idx="5">
                  <c:v>148400500</c:v>
                </c:pt>
                <c:pt idx="6">
                  <c:v>173133916.66666669</c:v>
                </c:pt>
                <c:pt idx="7">
                  <c:v>197867333.33333334</c:v>
                </c:pt>
                <c:pt idx="8">
                  <c:v>222600750</c:v>
                </c:pt>
                <c:pt idx="9">
                  <c:v>247334166.66666669</c:v>
                </c:pt>
                <c:pt idx="10">
                  <c:v>272067583.33333337</c:v>
                </c:pt>
                <c:pt idx="11">
                  <c:v>296801000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2-4CBA-8846-4B4170D03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5584"/>
        <c:axId val="290489472"/>
      </c:lineChart>
      <c:catAx>
        <c:axId val="2897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89472"/>
        <c:crosses val="autoZero"/>
        <c:auto val="1"/>
        <c:lblAlgn val="ctr"/>
        <c:lblOffset val="100"/>
        <c:noMultiLvlLbl val="0"/>
      </c:catAx>
      <c:valAx>
        <c:axId val="290489472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5584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45885787265097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(kum)'!$H$8:$H$19</c:f>
              <c:numCache>
                <c:formatCode>#\ ##0_ ;\-#\ ##0\ </c:formatCode>
                <c:ptCount val="12"/>
                <c:pt idx="0">
                  <c:v>7777615.9100000001</c:v>
                </c:pt>
                <c:pt idx="1">
                  <c:v>13739269.279999999</c:v>
                </c:pt>
                <c:pt idx="2">
                  <c:v>25638047.549999997</c:v>
                </c:pt>
                <c:pt idx="3">
                  <c:v>25638047.549999997</c:v>
                </c:pt>
                <c:pt idx="4">
                  <c:v>25638047.549999997</c:v>
                </c:pt>
                <c:pt idx="5">
                  <c:v>25638047.549999997</c:v>
                </c:pt>
                <c:pt idx="6">
                  <c:v>64983252.359999999</c:v>
                </c:pt>
                <c:pt idx="7">
                  <c:v>64983252.359999999</c:v>
                </c:pt>
                <c:pt idx="8">
                  <c:v>81272333.530000001</c:v>
                </c:pt>
                <c:pt idx="9">
                  <c:v>93981715.319999993</c:v>
                </c:pt>
                <c:pt idx="10">
                  <c:v>101616256.50999999</c:v>
                </c:pt>
                <c:pt idx="11">
                  <c:v>136349858.97999999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1-40E4-9D17-24B0B19BF625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(kum)'!$I$8:$I$19</c:f>
              <c:numCache>
                <c:formatCode>#\ ##0_ ;\-#\ ##0\ </c:formatCode>
                <c:ptCount val="12"/>
                <c:pt idx="0">
                  <c:v>11478833.333333334</c:v>
                </c:pt>
                <c:pt idx="1">
                  <c:v>22957666.666666668</c:v>
                </c:pt>
                <c:pt idx="2">
                  <c:v>34436500</c:v>
                </c:pt>
                <c:pt idx="3">
                  <c:v>45915333.333333336</c:v>
                </c:pt>
                <c:pt idx="4">
                  <c:v>57394166.666666672</c:v>
                </c:pt>
                <c:pt idx="5">
                  <c:v>68873000</c:v>
                </c:pt>
                <c:pt idx="6">
                  <c:v>80351833.333333343</c:v>
                </c:pt>
                <c:pt idx="7">
                  <c:v>91830666.666666672</c:v>
                </c:pt>
                <c:pt idx="8">
                  <c:v>103309500</c:v>
                </c:pt>
                <c:pt idx="9">
                  <c:v>114788333.33333334</c:v>
                </c:pt>
                <c:pt idx="10">
                  <c:v>126267166.66666667</c:v>
                </c:pt>
                <c:pt idx="11">
                  <c:v>137746000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1-40E4-9D17-24B0B19BF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8800"/>
        <c:axId val="290491200"/>
      </c:lineChart>
      <c:catAx>
        <c:axId val="290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1200"/>
        <c:crosses val="autoZero"/>
        <c:auto val="1"/>
        <c:lblAlgn val="ctr"/>
        <c:lblOffset val="100"/>
        <c:noMultiLvlLbl val="0"/>
      </c:catAx>
      <c:valAx>
        <c:axId val="290491200"/>
        <c:scaling>
          <c:orientation val="minMax"/>
          <c:max val="147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8800"/>
        <c:crosses val="autoZero"/>
        <c:crossBetween val="between"/>
        <c:majorUnit val="21000000"/>
        <c:minorUnit val="27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66611932129175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2024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(kum)'!$H$28:$H$39</c:f>
              <c:numCache>
                <c:formatCode>#\ ##0_ ;\-#\ ##0\ </c:formatCode>
                <c:ptCount val="12"/>
                <c:pt idx="0">
                  <c:v>721774125.79999995</c:v>
                </c:pt>
                <c:pt idx="1">
                  <c:v>1460724358.5999999</c:v>
                </c:pt>
                <c:pt idx="2">
                  <c:v>2423955677.5599999</c:v>
                </c:pt>
                <c:pt idx="3">
                  <c:v>2993348167.5599999</c:v>
                </c:pt>
                <c:pt idx="4">
                  <c:v>3714776698.52</c:v>
                </c:pt>
                <c:pt idx="5">
                  <c:v>4693780940.6300001</c:v>
                </c:pt>
                <c:pt idx="6">
                  <c:v>5998149815.4899998</c:v>
                </c:pt>
                <c:pt idx="7">
                  <c:v>6709390142.8400002</c:v>
                </c:pt>
                <c:pt idx="8">
                  <c:v>7506017100.0799999</c:v>
                </c:pt>
                <c:pt idx="9">
                  <c:v>8353745368.9800005</c:v>
                </c:pt>
                <c:pt idx="10">
                  <c:v>9144862017.7799988</c:v>
                </c:pt>
                <c:pt idx="11">
                  <c:v>10383194147.700001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E-49DD-A14A-060105305A7B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(kum)'!$I$28:$I$39</c:f>
              <c:numCache>
                <c:formatCode>#\ ##0_ ;\-#\ ##0\ </c:formatCode>
                <c:ptCount val="12"/>
                <c:pt idx="0">
                  <c:v>859682416.66666663</c:v>
                </c:pt>
                <c:pt idx="1">
                  <c:v>1719364833.3333333</c:v>
                </c:pt>
                <c:pt idx="2">
                  <c:v>2579047250</c:v>
                </c:pt>
                <c:pt idx="3">
                  <c:v>3438729666.6666665</c:v>
                </c:pt>
                <c:pt idx="4">
                  <c:v>4298412083.333333</c:v>
                </c:pt>
                <c:pt idx="5">
                  <c:v>5158094500</c:v>
                </c:pt>
                <c:pt idx="6">
                  <c:v>6017776916.666666</c:v>
                </c:pt>
                <c:pt idx="7">
                  <c:v>6877459333.333333</c:v>
                </c:pt>
                <c:pt idx="8">
                  <c:v>7737141750</c:v>
                </c:pt>
                <c:pt idx="9">
                  <c:v>8596824166.666666</c:v>
                </c:pt>
                <c:pt idx="10">
                  <c:v>9456506583.3333321</c:v>
                </c:pt>
                <c:pt idx="11">
                  <c:v>10316189000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E-49DD-A14A-060105305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9824"/>
        <c:axId val="290492928"/>
      </c:lineChart>
      <c:catAx>
        <c:axId val="2908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2928"/>
        <c:crosses val="autoZero"/>
        <c:auto val="1"/>
        <c:lblAlgn val="ctr"/>
        <c:lblOffset val="100"/>
        <c:noMultiLvlLbl val="0"/>
      </c:catAx>
      <c:valAx>
        <c:axId val="290492928"/>
        <c:scaling>
          <c:orientation val="minMax"/>
          <c:max val="11200000000.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9824"/>
        <c:crosses val="autoZero"/>
        <c:crossBetween val="between"/>
        <c:majorUnit val="1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152618135376754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2024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(kum)'!$B$28:$B$39</c:f>
              <c:numCache>
                <c:formatCode>#\ ##0_ ;\-#\ ##0\ </c:formatCode>
                <c:ptCount val="12"/>
                <c:pt idx="0">
                  <c:v>48404110.170000002</c:v>
                </c:pt>
                <c:pt idx="1">
                  <c:v>69237871.060000002</c:v>
                </c:pt>
                <c:pt idx="2">
                  <c:v>542725007.04999995</c:v>
                </c:pt>
                <c:pt idx="3">
                  <c:v>614680682.03999996</c:v>
                </c:pt>
                <c:pt idx="4">
                  <c:v>675842490.89999998</c:v>
                </c:pt>
                <c:pt idx="5">
                  <c:v>1045388330.5599999</c:v>
                </c:pt>
                <c:pt idx="6">
                  <c:v>1651646089.23</c:v>
                </c:pt>
                <c:pt idx="7">
                  <c:v>1651646089.23</c:v>
                </c:pt>
                <c:pt idx="8">
                  <c:v>1882560669.6100001</c:v>
                </c:pt>
                <c:pt idx="9">
                  <c:v>2116484859.1000001</c:v>
                </c:pt>
                <c:pt idx="10">
                  <c:v>2143610653.6300001</c:v>
                </c:pt>
                <c:pt idx="11">
                  <c:v>2626124215.54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B-4BE5-8580-CF5DFCA169D6}"/>
            </c:ext>
          </c:extLst>
        </c:ser>
        <c:ser>
          <c:idx val="1"/>
          <c:order val="1"/>
          <c:tx>
            <c:v>skutečnost 2023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(kum)'!$B$28:$B$39</c:f>
              <c:numCache>
                <c:formatCode>#\ ##0_ ;\-#\ ##0\ </c:formatCode>
                <c:ptCount val="12"/>
                <c:pt idx="0">
                  <c:v>60557922.520000003</c:v>
                </c:pt>
                <c:pt idx="1">
                  <c:v>83746563.480000004</c:v>
                </c:pt>
                <c:pt idx="2">
                  <c:v>492286402.71000004</c:v>
                </c:pt>
                <c:pt idx="3">
                  <c:v>586693838.32000005</c:v>
                </c:pt>
                <c:pt idx="4">
                  <c:v>639814219.4000001</c:v>
                </c:pt>
                <c:pt idx="5">
                  <c:v>1065914885.3000001</c:v>
                </c:pt>
                <c:pt idx="6">
                  <c:v>1959698428.45</c:v>
                </c:pt>
                <c:pt idx="7">
                  <c:v>1959698428.45</c:v>
                </c:pt>
                <c:pt idx="8">
                  <c:v>2311667040.4900002</c:v>
                </c:pt>
                <c:pt idx="9">
                  <c:v>2404028434.3800001</c:v>
                </c:pt>
                <c:pt idx="10">
                  <c:v>2483386494.5900002</c:v>
                </c:pt>
                <c:pt idx="11">
                  <c:v>2953173699.5599999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B-4BE5-8580-CF5DFCA16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91456"/>
        <c:axId val="290494656"/>
      </c:lineChart>
      <c:catAx>
        <c:axId val="2206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4656"/>
        <c:crosses val="autoZero"/>
        <c:auto val="1"/>
        <c:lblAlgn val="ctr"/>
        <c:lblOffset val="100"/>
        <c:noMultiLvlLbl val="0"/>
      </c:catAx>
      <c:valAx>
        <c:axId val="290494656"/>
        <c:scaling>
          <c:orientation val="minMax"/>
          <c:max val="31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91456"/>
        <c:crosses val="autoZero"/>
        <c:crossBetween val="between"/>
        <c:majorUnit val="4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68076081007112"/>
          <c:y val="0.29490540056212627"/>
          <c:w val="0.32086161284437148"/>
          <c:h val="0.154934827306509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2024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(kum)'!$B$8:$B$19</c:f>
              <c:numCache>
                <c:formatCode>#\ ##0_ ;\-#\ ##0\ </c:formatCode>
                <c:ptCount val="12"/>
                <c:pt idx="0">
                  <c:v>159348196.32999998</c:v>
                </c:pt>
                <c:pt idx="1">
                  <c:v>307011351.53999996</c:v>
                </c:pt>
                <c:pt idx="2">
                  <c:v>432625198.16999996</c:v>
                </c:pt>
                <c:pt idx="3">
                  <c:v>545639035.69999993</c:v>
                </c:pt>
                <c:pt idx="4">
                  <c:v>687828359.70999992</c:v>
                </c:pt>
                <c:pt idx="5">
                  <c:v>843706857.93999994</c:v>
                </c:pt>
                <c:pt idx="6">
                  <c:v>1007746164.7199999</c:v>
                </c:pt>
                <c:pt idx="7">
                  <c:v>1170473966.6699998</c:v>
                </c:pt>
                <c:pt idx="8">
                  <c:v>1305176205.1899998</c:v>
                </c:pt>
                <c:pt idx="9">
                  <c:v>1459817551.8699999</c:v>
                </c:pt>
                <c:pt idx="10">
                  <c:v>1618545897.1699998</c:v>
                </c:pt>
                <c:pt idx="11">
                  <c:v>1805692795.3099999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3-439B-B3C1-CB92AD33D9D3}"/>
            </c:ext>
          </c:extLst>
        </c:ser>
        <c:ser>
          <c:idx val="1"/>
          <c:order val="1"/>
          <c:tx>
            <c:v>skutečnost 2023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(kum)'!$B$8:$B$19</c:f>
              <c:numCache>
                <c:formatCode>#\ ##0_ ;\-#\ ##0\ </c:formatCode>
                <c:ptCount val="12"/>
                <c:pt idx="0">
                  <c:v>149006822.40000001</c:v>
                </c:pt>
                <c:pt idx="1">
                  <c:v>291675598.26999998</c:v>
                </c:pt>
                <c:pt idx="2">
                  <c:v>406102614.32999998</c:v>
                </c:pt>
                <c:pt idx="3">
                  <c:v>505373304.90999997</c:v>
                </c:pt>
                <c:pt idx="4">
                  <c:v>630718162.05999994</c:v>
                </c:pt>
                <c:pt idx="5">
                  <c:v>780561013.04999995</c:v>
                </c:pt>
                <c:pt idx="6">
                  <c:v>930276635.87999988</c:v>
                </c:pt>
                <c:pt idx="7">
                  <c:v>1078031277.6499999</c:v>
                </c:pt>
                <c:pt idx="8">
                  <c:v>1195867819.8399999</c:v>
                </c:pt>
                <c:pt idx="9">
                  <c:v>1327505612.28</c:v>
                </c:pt>
                <c:pt idx="10">
                  <c:v>1479886373.76</c:v>
                </c:pt>
                <c:pt idx="11">
                  <c:v>1653249821.6399999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3-439B-B3C1-CB92AD33D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8272"/>
        <c:axId val="290955264"/>
      </c:lineChart>
      <c:catAx>
        <c:axId val="22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5264"/>
        <c:crosses val="autoZero"/>
        <c:auto val="1"/>
        <c:lblAlgn val="ctr"/>
        <c:lblOffset val="100"/>
        <c:noMultiLvlLbl val="0"/>
      </c:catAx>
      <c:valAx>
        <c:axId val="290955264"/>
        <c:scaling>
          <c:orientation val="minMax"/>
          <c:max val="189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8272"/>
        <c:crosses val="autoZero"/>
        <c:crossBetween val="between"/>
        <c:majorUnit val="2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88802225871192"/>
          <c:y val="0.28535757713938287"/>
          <c:w val="0.32086161284437148"/>
          <c:h val="0.1693087855297157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2024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(kum)'!$E$28:$E$39</c:f>
              <c:numCache>
                <c:formatCode>#\ ##0_ ;\-#\ ##0\ </c:formatCode>
                <c:ptCount val="12"/>
                <c:pt idx="0">
                  <c:v>461611710.56</c:v>
                </c:pt>
                <c:pt idx="1">
                  <c:v>981470193.5</c:v>
                </c:pt>
                <c:pt idx="2">
                  <c:v>1295815184.5</c:v>
                </c:pt>
                <c:pt idx="3">
                  <c:v>1646931634.3400002</c:v>
                </c:pt>
                <c:pt idx="4">
                  <c:v>2124368138.5300002</c:v>
                </c:pt>
                <c:pt idx="5">
                  <c:v>2533667168.6000004</c:v>
                </c:pt>
                <c:pt idx="6">
                  <c:v>2960918545.9200006</c:v>
                </c:pt>
                <c:pt idx="7">
                  <c:v>3459721961.1200004</c:v>
                </c:pt>
                <c:pt idx="8">
                  <c:v>3823367786.0300002</c:v>
                </c:pt>
                <c:pt idx="9">
                  <c:v>4225892696.6800003</c:v>
                </c:pt>
                <c:pt idx="10">
                  <c:v>4782369621.21</c:v>
                </c:pt>
                <c:pt idx="11">
                  <c:v>5271516085.3000002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2-4A4D-BB4C-C2226947FEC1}"/>
            </c:ext>
          </c:extLst>
        </c:ser>
        <c:ser>
          <c:idx val="1"/>
          <c:order val="1"/>
          <c:tx>
            <c:v>skutečnost 2023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(kum)'!$E$28:$E$39</c:f>
              <c:numCache>
                <c:formatCode>#\ ##0_ ;\-#\ ##0\ </c:formatCode>
                <c:ptCount val="12"/>
                <c:pt idx="0">
                  <c:v>466700647.34999996</c:v>
                </c:pt>
                <c:pt idx="1">
                  <c:v>985320184.11999989</c:v>
                </c:pt>
                <c:pt idx="2">
                  <c:v>1292493899.4399998</c:v>
                </c:pt>
                <c:pt idx="3">
                  <c:v>1634628215.3199997</c:v>
                </c:pt>
                <c:pt idx="4">
                  <c:v>2200645042.2599998</c:v>
                </c:pt>
                <c:pt idx="5">
                  <c:v>2561848469.5899997</c:v>
                </c:pt>
                <c:pt idx="6">
                  <c:v>3022052505.2499995</c:v>
                </c:pt>
                <c:pt idx="7">
                  <c:v>3566627570.9199996</c:v>
                </c:pt>
                <c:pt idx="8">
                  <c:v>3868428839.5699997</c:v>
                </c:pt>
                <c:pt idx="9">
                  <c:v>4250957856.5199995</c:v>
                </c:pt>
                <c:pt idx="10">
                  <c:v>4786427742.6899996</c:v>
                </c:pt>
                <c:pt idx="11">
                  <c:v>5316407954.6099997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2-4A4D-BB4C-C2226947F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296"/>
        <c:axId val="290956992"/>
      </c:lineChart>
      <c:catAx>
        <c:axId val="220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6992"/>
        <c:crosses val="autoZero"/>
        <c:auto val="1"/>
        <c:lblAlgn val="ctr"/>
        <c:lblOffset val="100"/>
        <c:noMultiLvlLbl val="0"/>
      </c:catAx>
      <c:valAx>
        <c:axId val="290956992"/>
        <c:scaling>
          <c:orientation val="minMax"/>
          <c:max val="56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296"/>
        <c:crosses val="autoZero"/>
        <c:crossBetween val="between"/>
        <c:majorUnit val="8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36986863711003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2024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(kum)'!$E$8:$E$19</c:f>
              <c:numCache>
                <c:formatCode>#\ ##0_ ;\-#\ ##0\ </c:formatCode>
                <c:ptCount val="12"/>
                <c:pt idx="0">
                  <c:v>10367156.5</c:v>
                </c:pt>
                <c:pt idx="1">
                  <c:v>20110527.190000001</c:v>
                </c:pt>
                <c:pt idx="2">
                  <c:v>28399001.5</c:v>
                </c:pt>
                <c:pt idx="3">
                  <c:v>35856079.82</c:v>
                </c:pt>
                <c:pt idx="4">
                  <c:v>45238266.519999996</c:v>
                </c:pt>
                <c:pt idx="5">
                  <c:v>55523716.5</c:v>
                </c:pt>
                <c:pt idx="6">
                  <c:v>66347647.289999999</c:v>
                </c:pt>
                <c:pt idx="7">
                  <c:v>77085040.069999993</c:v>
                </c:pt>
                <c:pt idx="8">
                  <c:v>86355138.579999998</c:v>
                </c:pt>
                <c:pt idx="9">
                  <c:v>96606492.480000004</c:v>
                </c:pt>
                <c:pt idx="10">
                  <c:v>107128778.19</c:v>
                </c:pt>
                <c:pt idx="11">
                  <c:v>119534962.69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2-49DC-8E6B-5D660908E39B}"/>
            </c:ext>
          </c:extLst>
        </c:ser>
        <c:ser>
          <c:idx val="1"/>
          <c:order val="1"/>
          <c:tx>
            <c:v>skutečnost 2023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(kum)'!$E$8:$E$19</c:f>
              <c:numCache>
                <c:formatCode>#\ ##0_ ;\-#\ ##0\ </c:formatCode>
                <c:ptCount val="12"/>
                <c:pt idx="0">
                  <c:v>9177828.5700000003</c:v>
                </c:pt>
                <c:pt idx="1">
                  <c:v>17965275.609999999</c:v>
                </c:pt>
                <c:pt idx="2">
                  <c:v>25013218.18</c:v>
                </c:pt>
                <c:pt idx="3">
                  <c:v>31127632.039999999</c:v>
                </c:pt>
                <c:pt idx="4">
                  <c:v>38848040.960000001</c:v>
                </c:pt>
                <c:pt idx="5">
                  <c:v>48077363.289999999</c:v>
                </c:pt>
                <c:pt idx="6">
                  <c:v>57298849.219999999</c:v>
                </c:pt>
                <c:pt idx="7">
                  <c:v>66399551.75</c:v>
                </c:pt>
                <c:pt idx="8">
                  <c:v>75978097.260000005</c:v>
                </c:pt>
                <c:pt idx="9">
                  <c:v>84354801.859999999</c:v>
                </c:pt>
                <c:pt idx="10">
                  <c:v>94051474.870000005</c:v>
                </c:pt>
                <c:pt idx="11">
                  <c:v>105083370.53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2-49DC-8E6B-5D660908E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808"/>
        <c:axId val="290958720"/>
      </c:lineChart>
      <c:catAx>
        <c:axId val="2205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8720"/>
        <c:crosses val="autoZero"/>
        <c:auto val="1"/>
        <c:lblAlgn val="ctr"/>
        <c:lblOffset val="100"/>
        <c:noMultiLvlLbl val="0"/>
      </c:catAx>
      <c:valAx>
        <c:axId val="290958720"/>
        <c:scaling>
          <c:orientation val="minMax"/>
          <c:max val="126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808"/>
        <c:crosses val="autoZero"/>
        <c:crossBetween val="between"/>
        <c:majorUnit val="18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7570565435476518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2024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(kum)'!$K$8:$K$19</c:f>
              <c:numCache>
                <c:formatCode>#\ ##0_ ;\-#\ ##0\ </c:formatCode>
                <c:ptCount val="12"/>
                <c:pt idx="0">
                  <c:v>34265336.329999998</c:v>
                </c:pt>
                <c:pt idx="1">
                  <c:v>69155146.030000001</c:v>
                </c:pt>
                <c:pt idx="2">
                  <c:v>98753238.789999992</c:v>
                </c:pt>
                <c:pt idx="3">
                  <c:v>124602688.10999998</c:v>
                </c:pt>
                <c:pt idx="4">
                  <c:v>155861395.31</c:v>
                </c:pt>
                <c:pt idx="5">
                  <c:v>189856819.48000002</c:v>
                </c:pt>
                <c:pt idx="6">
                  <c:v>246508115.97000003</c:v>
                </c:pt>
                <c:pt idx="7">
                  <c:v>285479833.39000005</c:v>
                </c:pt>
                <c:pt idx="8">
                  <c:v>327284967.14000005</c:v>
                </c:pt>
                <c:pt idx="9">
                  <c:v>360962053.53000003</c:v>
                </c:pt>
                <c:pt idx="10">
                  <c:v>391590811.07000005</c:v>
                </c:pt>
                <c:pt idx="11">
                  <c:v>423976229.88000005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2-4827-B57E-D402A1A1FF19}"/>
            </c:ext>
          </c:extLst>
        </c:ser>
        <c:ser>
          <c:idx val="1"/>
          <c:order val="1"/>
          <c:tx>
            <c:v>skutečnost 2023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(kum)'!$K$8:$K$19</c:f>
              <c:numCache>
                <c:formatCode>#\ ##0_ ;\-#\ ##0\ </c:formatCode>
                <c:ptCount val="12"/>
                <c:pt idx="0">
                  <c:v>31706626</c:v>
                </c:pt>
                <c:pt idx="1">
                  <c:v>64418700.349999994</c:v>
                </c:pt>
                <c:pt idx="2">
                  <c:v>90054026.199999988</c:v>
                </c:pt>
                <c:pt idx="3">
                  <c:v>117232010.47999999</c:v>
                </c:pt>
                <c:pt idx="4">
                  <c:v>146626457.95999998</c:v>
                </c:pt>
                <c:pt idx="5">
                  <c:v>180466081.98999998</c:v>
                </c:pt>
                <c:pt idx="6">
                  <c:v>221802117.72999999</c:v>
                </c:pt>
                <c:pt idx="7">
                  <c:v>261749842.27999997</c:v>
                </c:pt>
                <c:pt idx="8">
                  <c:v>307121684.79999995</c:v>
                </c:pt>
                <c:pt idx="9">
                  <c:v>339269344.68999994</c:v>
                </c:pt>
                <c:pt idx="10">
                  <c:v>373960144.94999993</c:v>
                </c:pt>
                <c:pt idx="11">
                  <c:v>407336011.3499999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2-4827-B57E-D402A1A1F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01856"/>
        <c:axId val="290960448"/>
      </c:lineChart>
      <c:catAx>
        <c:axId val="2206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0448"/>
        <c:crosses val="autoZero"/>
        <c:auto val="1"/>
        <c:lblAlgn val="ctr"/>
        <c:lblOffset val="100"/>
        <c:noMultiLvlLbl val="0"/>
      </c:catAx>
      <c:valAx>
        <c:axId val="290960448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01856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09528370735266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1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19776338688085704"/>
          <c:w val="0.81108523592085235"/>
          <c:h val="0.55829551539491362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(kum)'!$E$8:$E$19</c:f>
              <c:numCache>
                <c:formatCode>#\ ##0_ ;\-#\ ##0\ </c:formatCode>
                <c:ptCount val="12"/>
                <c:pt idx="0">
                  <c:v>10969721</c:v>
                </c:pt>
                <c:pt idx="1">
                  <c:v>18635925</c:v>
                </c:pt>
                <c:pt idx="2">
                  <c:v>24514601</c:v>
                </c:pt>
                <c:pt idx="3">
                  <c:v>29354091</c:v>
                </c:pt>
                <c:pt idx="4">
                  <c:v>34997019</c:v>
                </c:pt>
                <c:pt idx="5">
                  <c:v>42206881</c:v>
                </c:pt>
                <c:pt idx="6">
                  <c:v>49153911</c:v>
                </c:pt>
                <c:pt idx="7">
                  <c:v>56832845</c:v>
                </c:pt>
                <c:pt idx="8">
                  <c:v>59445229</c:v>
                </c:pt>
                <c:pt idx="9">
                  <c:v>64949629</c:v>
                </c:pt>
                <c:pt idx="10">
                  <c:v>71649524</c:v>
                </c:pt>
                <c:pt idx="11">
                  <c:v>78041388.25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3-4408-95B6-8DC14359BE34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(kum)'!$F$8:$F$19</c:f>
              <c:numCache>
                <c:formatCode>#\ ##0_ ;\-#\ ##0\ </c:formatCode>
                <c:ptCount val="12"/>
                <c:pt idx="0">
                  <c:v>6880916.666666667</c:v>
                </c:pt>
                <c:pt idx="1">
                  <c:v>13761833.333333334</c:v>
                </c:pt>
                <c:pt idx="2">
                  <c:v>20642750</c:v>
                </c:pt>
                <c:pt idx="3">
                  <c:v>27523666.666666668</c:v>
                </c:pt>
                <c:pt idx="4">
                  <c:v>34404583.333333336</c:v>
                </c:pt>
                <c:pt idx="5">
                  <c:v>41285500</c:v>
                </c:pt>
                <c:pt idx="6">
                  <c:v>48166416.666666672</c:v>
                </c:pt>
                <c:pt idx="7">
                  <c:v>55047333.333333336</c:v>
                </c:pt>
                <c:pt idx="8">
                  <c:v>61928250</c:v>
                </c:pt>
                <c:pt idx="9">
                  <c:v>68809166.666666672</c:v>
                </c:pt>
                <c:pt idx="10">
                  <c:v>75690083.333333343</c:v>
                </c:pt>
                <c:pt idx="11">
                  <c:v>82571000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3-4408-95B6-8DC14359B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14240"/>
        <c:axId val="222831168"/>
      </c:lineChart>
      <c:catAx>
        <c:axId val="22151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2831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31168"/>
        <c:scaling>
          <c:orientation val="minMax"/>
          <c:max val="1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1514240"/>
        <c:crosses val="autoZero"/>
        <c:crossBetween val="between"/>
        <c:maj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095" footer="0.49212598450000095"/>
    <c:pageSetup orientation="portrait"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2024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(kum)'!$H$8:$H$19</c:f>
              <c:numCache>
                <c:formatCode>#\ ##0_ ;\-#\ ##0\ </c:formatCode>
                <c:ptCount val="12"/>
                <c:pt idx="0">
                  <c:v>7777615.9100000001</c:v>
                </c:pt>
                <c:pt idx="1">
                  <c:v>13739269.279999999</c:v>
                </c:pt>
                <c:pt idx="2">
                  <c:v>25638047.549999997</c:v>
                </c:pt>
                <c:pt idx="3">
                  <c:v>25638047.549999997</c:v>
                </c:pt>
                <c:pt idx="4">
                  <c:v>25638047.549999997</c:v>
                </c:pt>
                <c:pt idx="5">
                  <c:v>25638047.549999997</c:v>
                </c:pt>
                <c:pt idx="6">
                  <c:v>64983252.359999999</c:v>
                </c:pt>
                <c:pt idx="7">
                  <c:v>64983252.359999999</c:v>
                </c:pt>
                <c:pt idx="8">
                  <c:v>81272333.530000001</c:v>
                </c:pt>
                <c:pt idx="9">
                  <c:v>93981715.319999993</c:v>
                </c:pt>
                <c:pt idx="10">
                  <c:v>101616256.50999999</c:v>
                </c:pt>
                <c:pt idx="11">
                  <c:v>136349858.97999999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7-44D1-B8AF-61CB8C75DE10}"/>
            </c:ext>
          </c:extLst>
        </c:ser>
        <c:ser>
          <c:idx val="1"/>
          <c:order val="1"/>
          <c:tx>
            <c:v>skutečnost 2023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(kum)'!$H$8:$H$19</c:f>
              <c:numCache>
                <c:formatCode>#\ ##0_ ;\-#\ ##0\ </c:formatCode>
                <c:ptCount val="12"/>
                <c:pt idx="0">
                  <c:v>8099954.6499999994</c:v>
                </c:pt>
                <c:pt idx="1">
                  <c:v>13365672.849999998</c:v>
                </c:pt>
                <c:pt idx="2">
                  <c:v>25968206.919999998</c:v>
                </c:pt>
                <c:pt idx="3">
                  <c:v>25968206.919999998</c:v>
                </c:pt>
                <c:pt idx="4">
                  <c:v>25968206.919999998</c:v>
                </c:pt>
                <c:pt idx="5">
                  <c:v>25968206.919999998</c:v>
                </c:pt>
                <c:pt idx="6">
                  <c:v>68804113.909999996</c:v>
                </c:pt>
                <c:pt idx="7">
                  <c:v>68804113.909999996</c:v>
                </c:pt>
                <c:pt idx="8">
                  <c:v>88978863.530000001</c:v>
                </c:pt>
                <c:pt idx="9">
                  <c:v>98552069.960000008</c:v>
                </c:pt>
                <c:pt idx="10">
                  <c:v>106814741.66000001</c:v>
                </c:pt>
                <c:pt idx="11">
                  <c:v>141145183.44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7-44D1-B8AF-61CB8C75D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0496"/>
        <c:axId val="290962176"/>
      </c:lineChart>
      <c:catAx>
        <c:axId val="2907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2176"/>
        <c:crosses val="autoZero"/>
        <c:auto val="1"/>
        <c:lblAlgn val="ctr"/>
        <c:lblOffset val="100"/>
        <c:noMultiLvlLbl val="0"/>
      </c:catAx>
      <c:valAx>
        <c:axId val="290962176"/>
        <c:scaling>
          <c:orientation val="minMax"/>
          <c:max val="147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0496"/>
        <c:crosses val="autoZero"/>
        <c:crossBetween val="between"/>
        <c:majorUnit val="21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50980660463418"/>
          <c:y val="0.28535757713938287"/>
          <c:w val="0.31796524356869182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Sdílené daně</a:t>
            </a:r>
            <a:r>
              <a:rPr lang="cs-CZ" sz="1800" b="1" baseline="0">
                <a:solidFill>
                  <a:srgbClr val="000000"/>
                </a:solidFill>
              </a:rPr>
              <a:t> města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2024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(kum)'!$H$28:$H$39</c:f>
              <c:numCache>
                <c:formatCode>#\ ##0_ ;\-#\ ##0\ </c:formatCode>
                <c:ptCount val="12"/>
                <c:pt idx="0">
                  <c:v>721774125.79999995</c:v>
                </c:pt>
                <c:pt idx="1">
                  <c:v>1460724358.5999999</c:v>
                </c:pt>
                <c:pt idx="2">
                  <c:v>2423955677.5599999</c:v>
                </c:pt>
                <c:pt idx="3">
                  <c:v>2993348167.5599999</c:v>
                </c:pt>
                <c:pt idx="4">
                  <c:v>3714776698.52</c:v>
                </c:pt>
                <c:pt idx="5">
                  <c:v>4693780940.6300001</c:v>
                </c:pt>
                <c:pt idx="6">
                  <c:v>5998149815.4899998</c:v>
                </c:pt>
                <c:pt idx="7">
                  <c:v>6709390142.8400002</c:v>
                </c:pt>
                <c:pt idx="8">
                  <c:v>7506017100.0799999</c:v>
                </c:pt>
                <c:pt idx="9">
                  <c:v>8353745368.9800005</c:v>
                </c:pt>
                <c:pt idx="10">
                  <c:v>9144862017.7799988</c:v>
                </c:pt>
                <c:pt idx="11">
                  <c:v>10383194147.700001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8-4CBC-9B89-C67EDA87347C}"/>
            </c:ext>
          </c:extLst>
        </c:ser>
        <c:ser>
          <c:idx val="1"/>
          <c:order val="1"/>
          <c:tx>
            <c:v>skutečnost 2023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(kum)'!$H$28:$H$39</c:f>
              <c:numCache>
                <c:formatCode>#\ ##0_ ;\-#\ ##0\ </c:formatCode>
                <c:ptCount val="12"/>
                <c:pt idx="0">
                  <c:v>725249801.49000001</c:v>
                </c:pt>
                <c:pt idx="1">
                  <c:v>1456491994.6799998</c:v>
                </c:pt>
                <c:pt idx="2">
                  <c:v>2331918367.7799997</c:v>
                </c:pt>
                <c:pt idx="3">
                  <c:v>2901023207.9899998</c:v>
                </c:pt>
                <c:pt idx="4">
                  <c:v>3682620129.5599995</c:v>
                </c:pt>
                <c:pt idx="5">
                  <c:v>4662836020.1399994</c:v>
                </c:pt>
                <c:pt idx="6">
                  <c:v>6259932650.4399986</c:v>
                </c:pt>
                <c:pt idx="7">
                  <c:v>7001310784.9599991</c:v>
                </c:pt>
                <c:pt idx="8">
                  <c:v>7848042345.4899998</c:v>
                </c:pt>
                <c:pt idx="9">
                  <c:v>8504668119.6899996</c:v>
                </c:pt>
                <c:pt idx="10">
                  <c:v>9324526972.5200005</c:v>
                </c:pt>
                <c:pt idx="11">
                  <c:v>10576396041.130001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8-4CBC-9B89-C67EDA873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2032"/>
        <c:axId val="291660352"/>
      </c:lineChart>
      <c:catAx>
        <c:axId val="2907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1660352"/>
        <c:crosses val="autoZero"/>
        <c:auto val="1"/>
        <c:lblAlgn val="ctr"/>
        <c:lblOffset val="100"/>
        <c:noMultiLvlLbl val="0"/>
      </c:catAx>
      <c:valAx>
        <c:axId val="291660352"/>
        <c:scaling>
          <c:orientation val="minMax"/>
          <c:max val="11200000000.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2032"/>
        <c:crosses val="autoZero"/>
        <c:crossBetween val="between"/>
        <c:majorUnit val="1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8535757713938287"/>
          <c:w val="0.32086161284437148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'2025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(měs)'!$B$28:$B$39</c:f>
              <c:numCache>
                <c:formatCode>#\ ##0_ ;\-#\ ##0\ </c:formatCode>
                <c:ptCount val="12"/>
                <c:pt idx="0">
                  <c:v>54055820.659999996</c:v>
                </c:pt>
                <c:pt idx="1">
                  <c:v>16866162.800000001</c:v>
                </c:pt>
                <c:pt idx="2">
                  <c:v>340748516.07999998</c:v>
                </c:pt>
                <c:pt idx="3">
                  <c:v>201238458.64999998</c:v>
                </c:pt>
                <c:pt idx="4">
                  <c:v>68166871.229999989</c:v>
                </c:pt>
                <c:pt idx="5">
                  <c:v>1188614.1100000001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4-49D2-9FB1-0A85B88BA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596416"/>
        <c:axId val="288618688"/>
      </c:lineChart>
      <c:catAx>
        <c:axId val="28959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618688"/>
        <c:crosses val="autoZero"/>
        <c:auto val="1"/>
        <c:lblAlgn val="ctr"/>
        <c:lblOffset val="100"/>
        <c:noMultiLvlLbl val="0"/>
      </c:catAx>
      <c:valAx>
        <c:axId val="288618688"/>
        <c:scaling>
          <c:orientation val="minMax"/>
          <c:max val="980000000.0000001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596416"/>
        <c:crosses val="autoZero"/>
        <c:crossBetween val="between"/>
        <c:majorUnit val="14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(měs)'!$E$28:$E$39</c:f>
              <c:numCache>
                <c:formatCode>#\ ##0_ ;\-#\ ##0\ </c:formatCode>
                <c:ptCount val="12"/>
                <c:pt idx="0">
                  <c:v>444464072.28999996</c:v>
                </c:pt>
                <c:pt idx="1">
                  <c:v>535308786.74000001</c:v>
                </c:pt>
                <c:pt idx="2">
                  <c:v>311629363.29999995</c:v>
                </c:pt>
                <c:pt idx="3">
                  <c:v>356889291.38</c:v>
                </c:pt>
                <c:pt idx="4">
                  <c:v>503453572.63</c:v>
                </c:pt>
                <c:pt idx="5">
                  <c:v>390022710.81999999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5-4597-AA2E-EBA3909DB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6704"/>
        <c:axId val="289300480"/>
      </c:lineChart>
      <c:catAx>
        <c:axId val="28845670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0480"/>
        <c:crosses val="autoZero"/>
        <c:auto val="1"/>
        <c:lblAlgn val="ctr"/>
        <c:lblOffset val="100"/>
        <c:noMultiLvlLbl val="0"/>
      </c:catAx>
      <c:valAx>
        <c:axId val="289300480"/>
        <c:scaling>
          <c:orientation val="minMax"/>
          <c:max val="63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6704"/>
        <c:crosses val="autoZero"/>
        <c:crossBetween val="between"/>
        <c:majorUnit val="9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Daň z příjmů </a:t>
            </a:r>
            <a:r>
              <a:rPr lang="cs-CZ" sz="1800"/>
              <a:t>FO</a:t>
            </a:r>
            <a:r>
              <a:rPr lang="en-US" sz="1800"/>
              <a:t>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(měs)'!$B$8:$B$19</c:f>
              <c:numCache>
                <c:formatCode>#\ ##0_ ;\-#\ ##0\ </c:formatCode>
                <c:ptCount val="12"/>
                <c:pt idx="0">
                  <c:v>171593259.33000001</c:v>
                </c:pt>
                <c:pt idx="1">
                  <c:v>153134962.71000001</c:v>
                </c:pt>
                <c:pt idx="2">
                  <c:v>135641409.75</c:v>
                </c:pt>
                <c:pt idx="3">
                  <c:v>131014149.62</c:v>
                </c:pt>
                <c:pt idx="4">
                  <c:v>150762511.68000001</c:v>
                </c:pt>
                <c:pt idx="5">
                  <c:v>71487676.799999997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B-4213-8F58-2B07B33C5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7728"/>
        <c:axId val="289302208"/>
      </c:lineChart>
      <c:catAx>
        <c:axId val="28845772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2208"/>
        <c:crosses val="autoZero"/>
        <c:auto val="1"/>
        <c:lblAlgn val="ctr"/>
        <c:lblOffset val="100"/>
        <c:noMultiLvlLbl val="0"/>
      </c:catAx>
      <c:valAx>
        <c:axId val="289302208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7728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51181102362204722" l="0.51181102362204722" r="0.51181102362204722" t="0.51181102362204722" header="0.31496062992125984" footer="0.31496062992125984"/>
    <c:pageSetup orientation="portrait"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Daň z příjmů FO placená plátci</a:t>
            </a:r>
            <a:r>
              <a:rPr lang="en-US" sz="1500"/>
              <a:t> </a:t>
            </a:r>
            <a:r>
              <a:rPr lang="en-US" sz="1200"/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(měs)'!$E$8:$E$19</c:f>
              <c:numCache>
                <c:formatCode>#\ ##0_ ;\-#\ ##0\ </c:formatCode>
                <c:ptCount val="12"/>
                <c:pt idx="0">
                  <c:v>11593018.73</c:v>
                </c:pt>
                <c:pt idx="1">
                  <c:v>10470828.989999998</c:v>
                </c:pt>
                <c:pt idx="2">
                  <c:v>9274681.5</c:v>
                </c:pt>
                <c:pt idx="3">
                  <c:v>8958285.7799999993</c:v>
                </c:pt>
                <c:pt idx="4">
                  <c:v>10308609.140000001</c:v>
                </c:pt>
                <c:pt idx="5">
                  <c:v>4888075.38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D-4265-B5C6-55411E6C7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8240"/>
        <c:axId val="289303936"/>
      </c:lineChart>
      <c:catAx>
        <c:axId val="28845824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3936"/>
        <c:crosses val="autoZero"/>
        <c:auto val="1"/>
        <c:lblAlgn val="ctr"/>
        <c:lblOffset val="100"/>
        <c:noMultiLvlLbl val="0"/>
      </c:catAx>
      <c:valAx>
        <c:axId val="289303936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82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(měs)'!$K$8:$K$19</c:f>
              <c:numCache>
                <c:formatCode>#\ ##0_ ;\-#\ ##0\ </c:formatCode>
                <c:ptCount val="12"/>
                <c:pt idx="0">
                  <c:v>28405151.210000001</c:v>
                </c:pt>
                <c:pt idx="1">
                  <c:v>33196773.100000001</c:v>
                </c:pt>
                <c:pt idx="2">
                  <c:v>25483898.149999999</c:v>
                </c:pt>
                <c:pt idx="3">
                  <c:v>27847122.960000001</c:v>
                </c:pt>
                <c:pt idx="4">
                  <c:v>27779010.77</c:v>
                </c:pt>
                <c:pt idx="5">
                  <c:v>17725598.030000001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7-4611-A984-3C395C082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9264"/>
        <c:axId val="289305664"/>
      </c:lineChart>
      <c:catAx>
        <c:axId val="28845926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5664"/>
        <c:crosses val="autoZero"/>
        <c:auto val="1"/>
        <c:lblAlgn val="ctr"/>
        <c:lblOffset val="100"/>
        <c:noMultiLvlLbl val="0"/>
      </c:catAx>
      <c:valAx>
        <c:axId val="289305664"/>
        <c:scaling>
          <c:orientation val="minMax"/>
          <c:max val="63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9264"/>
        <c:crosses val="autoZero"/>
        <c:crossBetween val="between"/>
        <c:majorUnit val="9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(měs)'!$H$8:$H$19</c:f>
              <c:numCache>
                <c:formatCode>#\ ##0_ ;\-#\ ##0\ </c:formatCode>
                <c:ptCount val="12"/>
                <c:pt idx="0">
                  <c:v>7878311.9699999997</c:v>
                </c:pt>
                <c:pt idx="1">
                  <c:v>6412165.9700000007</c:v>
                </c:pt>
                <c:pt idx="2">
                  <c:v>30826387.219999999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B-4B48-B7C9-680BDD6FD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60288"/>
        <c:axId val="289307392"/>
      </c:lineChart>
      <c:catAx>
        <c:axId val="2884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7392"/>
        <c:crosses val="autoZero"/>
        <c:auto val="1"/>
        <c:lblAlgn val="ctr"/>
        <c:lblOffset val="100"/>
        <c:noMultiLvlLbl val="0"/>
      </c:catAx>
      <c:valAx>
        <c:axId val="289307392"/>
        <c:scaling>
          <c:orientation val="minMax"/>
          <c:max val="49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60288"/>
        <c:crosses val="autoZero"/>
        <c:crossBetween val="between"/>
        <c:majorUnit val="7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</a:t>
            </a:r>
            <a:r>
              <a:rPr lang="cs-CZ"/>
              <a:t>25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2025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(měs)'!$H$28:$H$39</c:f>
              <c:numCache>
                <c:formatCode>#\ ##0_ ;\-#\ ##0\ </c:formatCode>
                <c:ptCount val="12"/>
                <c:pt idx="0">
                  <c:v>717989634.18999994</c:v>
                </c:pt>
                <c:pt idx="1">
                  <c:v>755389680.31000006</c:v>
                </c:pt>
                <c:pt idx="2">
                  <c:v>853604256</c:v>
                </c:pt>
                <c:pt idx="3">
                  <c:v>725947308.38999999</c:v>
                </c:pt>
                <c:pt idx="4">
                  <c:v>760470575.45000005</c:v>
                </c:pt>
                <c:pt idx="5">
                  <c:v>485312675.13999999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D-43E6-912A-0DA33480B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1632"/>
        <c:axId val="290226752"/>
      </c:lineChart>
      <c:catAx>
        <c:axId val="290181632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6752"/>
        <c:crosses val="autoZero"/>
        <c:auto val="1"/>
        <c:lblAlgn val="ctr"/>
        <c:lblOffset val="100"/>
        <c:noMultiLvlLbl val="0"/>
      </c:catAx>
      <c:valAx>
        <c:axId val="290226752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163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(kum)'!$B$28:$B$33</c:f>
              <c:numCache>
                <c:formatCode>#\ ##0_ ;\-#\ ##0\ </c:formatCode>
                <c:ptCount val="6"/>
                <c:pt idx="0">
                  <c:v>54055820.659999996</c:v>
                </c:pt>
                <c:pt idx="1">
                  <c:v>70921983.459999993</c:v>
                </c:pt>
                <c:pt idx="2">
                  <c:v>411670499.53999996</c:v>
                </c:pt>
                <c:pt idx="3">
                  <c:v>612908958.18999994</c:v>
                </c:pt>
                <c:pt idx="4">
                  <c:v>681075829.41999996</c:v>
                </c:pt>
                <c:pt idx="5">
                  <c:v>682264443.52999997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8-45E8-82CC-C850109E7313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(kum)'!$C$28:$C$39</c:f>
              <c:numCache>
                <c:formatCode>#\ ##0_ ;\-#\ ##0\ </c:formatCode>
                <c:ptCount val="12"/>
                <c:pt idx="0">
                  <c:v>223966833.33333334</c:v>
                </c:pt>
                <c:pt idx="1">
                  <c:v>447933666.66666669</c:v>
                </c:pt>
                <c:pt idx="2">
                  <c:v>671900500</c:v>
                </c:pt>
                <c:pt idx="3">
                  <c:v>895867333.33333337</c:v>
                </c:pt>
                <c:pt idx="4">
                  <c:v>1119834166.6666667</c:v>
                </c:pt>
                <c:pt idx="5">
                  <c:v>1343801000</c:v>
                </c:pt>
                <c:pt idx="6">
                  <c:v>1567767833.3333335</c:v>
                </c:pt>
                <c:pt idx="7">
                  <c:v>1791734666.6666667</c:v>
                </c:pt>
                <c:pt idx="8">
                  <c:v>2015701500</c:v>
                </c:pt>
                <c:pt idx="9">
                  <c:v>2239668333.3333335</c:v>
                </c:pt>
                <c:pt idx="10">
                  <c:v>2463635166.666667</c:v>
                </c:pt>
                <c:pt idx="11">
                  <c:v>2687602000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8-45E8-82CC-C850109E7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2000"/>
        <c:axId val="290228480"/>
      </c:lineChart>
      <c:catAx>
        <c:axId val="2897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8480"/>
        <c:crosses val="autoZero"/>
        <c:auto val="1"/>
        <c:lblAlgn val="ctr"/>
        <c:lblOffset val="100"/>
        <c:noMultiLvlLbl val="0"/>
      </c:catAx>
      <c:valAx>
        <c:axId val="290228480"/>
        <c:scaling>
          <c:orientation val="minMax"/>
          <c:max val="31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2000"/>
        <c:crosses val="autoZero"/>
        <c:crossBetween val="between"/>
        <c:majorUnit val="4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25159642401023"/>
          <c:y val="0.29018359390705828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1"/>
          <c:y val="0.19751606425702836"/>
          <c:w val="0.78669351101309615"/>
          <c:h val="0.5472710843373495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(kum)'!$B$28:$B$39</c:f>
              <c:numCache>
                <c:formatCode>#\ ##0_ ;\-#\ ##0\ </c:formatCode>
                <c:ptCount val="12"/>
                <c:pt idx="0">
                  <c:v>10745147</c:v>
                </c:pt>
                <c:pt idx="1">
                  <c:v>33517032</c:v>
                </c:pt>
                <c:pt idx="2">
                  <c:v>40505119</c:v>
                </c:pt>
                <c:pt idx="3">
                  <c:v>47859241</c:v>
                </c:pt>
                <c:pt idx="4">
                  <c:v>57771044</c:v>
                </c:pt>
                <c:pt idx="5">
                  <c:v>66098198</c:v>
                </c:pt>
                <c:pt idx="6">
                  <c:v>77391719</c:v>
                </c:pt>
                <c:pt idx="7">
                  <c:v>90387886</c:v>
                </c:pt>
                <c:pt idx="8">
                  <c:v>101130334</c:v>
                </c:pt>
                <c:pt idx="9">
                  <c:v>110534877</c:v>
                </c:pt>
                <c:pt idx="10">
                  <c:v>121560499</c:v>
                </c:pt>
                <c:pt idx="11">
                  <c:v>129459265.11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0-4313-B06B-BF731DC6E72F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(kum)'!$C$28:$C$39</c:f>
              <c:numCache>
                <c:formatCode>#\ ##0_ ;\-#\ ##0\ </c:formatCode>
                <c:ptCount val="12"/>
                <c:pt idx="0">
                  <c:v>9160666.666666666</c:v>
                </c:pt>
                <c:pt idx="1">
                  <c:v>18321333.333333332</c:v>
                </c:pt>
                <c:pt idx="2">
                  <c:v>27482000</c:v>
                </c:pt>
                <c:pt idx="3">
                  <c:v>36642666.666666664</c:v>
                </c:pt>
                <c:pt idx="4">
                  <c:v>45803333.333333328</c:v>
                </c:pt>
                <c:pt idx="5">
                  <c:v>54964000</c:v>
                </c:pt>
                <c:pt idx="6">
                  <c:v>64124666.666666664</c:v>
                </c:pt>
                <c:pt idx="7">
                  <c:v>73285333.333333328</c:v>
                </c:pt>
                <c:pt idx="8">
                  <c:v>82446000</c:v>
                </c:pt>
                <c:pt idx="9">
                  <c:v>91606666.666666657</c:v>
                </c:pt>
                <c:pt idx="10">
                  <c:v>100767333.33333333</c:v>
                </c:pt>
                <c:pt idx="11">
                  <c:v>109928000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0-4313-B06B-BF731DC6E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15264"/>
        <c:axId val="222832896"/>
      </c:lineChart>
      <c:catAx>
        <c:axId val="2215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83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32896"/>
        <c:scaling>
          <c:orientation val="minMax"/>
          <c:max val="14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1515264"/>
        <c:crosses val="autoZero"/>
        <c:crossBetween val="between"/>
        <c:majorUnit val="2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5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(kum)'!$B$8:$B$13</c:f>
              <c:numCache>
                <c:formatCode>#\ ##0_ ;\-#\ ##0\ </c:formatCode>
                <c:ptCount val="6"/>
                <c:pt idx="0">
                  <c:v>171593259.33000001</c:v>
                </c:pt>
                <c:pt idx="1">
                  <c:v>324728222.04000002</c:v>
                </c:pt>
                <c:pt idx="2">
                  <c:v>460369631.79000002</c:v>
                </c:pt>
                <c:pt idx="3">
                  <c:v>591383781.41000009</c:v>
                </c:pt>
                <c:pt idx="4">
                  <c:v>742146293.09000015</c:v>
                </c:pt>
                <c:pt idx="5">
                  <c:v>813633969.8900001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D-468E-9356-7C0A130EC433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(kum)'!$C$8:$C$19</c:f>
              <c:numCache>
                <c:formatCode>#\ ##0_ ;\-#\ ##0\ </c:formatCode>
                <c:ptCount val="12"/>
                <c:pt idx="0">
                  <c:v>158247666.66666666</c:v>
                </c:pt>
                <c:pt idx="1">
                  <c:v>316495333.33333331</c:v>
                </c:pt>
                <c:pt idx="2">
                  <c:v>474743000</c:v>
                </c:pt>
                <c:pt idx="3">
                  <c:v>632990666.66666663</c:v>
                </c:pt>
                <c:pt idx="4">
                  <c:v>791238333.33333325</c:v>
                </c:pt>
                <c:pt idx="5">
                  <c:v>949486000</c:v>
                </c:pt>
                <c:pt idx="6">
                  <c:v>1107733666.6666665</c:v>
                </c:pt>
                <c:pt idx="7">
                  <c:v>1265981333.3333333</c:v>
                </c:pt>
                <c:pt idx="8">
                  <c:v>1424229000</c:v>
                </c:pt>
                <c:pt idx="9">
                  <c:v>1582476666.6666665</c:v>
                </c:pt>
                <c:pt idx="10">
                  <c:v>1740724333.3333333</c:v>
                </c:pt>
                <c:pt idx="11">
                  <c:v>1898972000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D-468E-9356-7C0A130EC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4192"/>
        <c:axId val="290230208"/>
      </c:lineChart>
      <c:catAx>
        <c:axId val="290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0208"/>
        <c:crosses val="autoZero"/>
        <c:auto val="1"/>
        <c:lblAlgn val="ctr"/>
        <c:lblOffset val="100"/>
        <c:noMultiLvlLbl val="0"/>
      </c:catAx>
      <c:valAx>
        <c:axId val="290230208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4192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862981207808794"/>
          <c:y val="0.28568043397817372"/>
          <c:w val="0.38633643495712461"/>
          <c:h val="8.72279976754697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(kum)'!$E$28:$E$33</c:f>
              <c:numCache>
                <c:formatCode>#\ ##0_ ;\-#\ ##0\ </c:formatCode>
                <c:ptCount val="6"/>
                <c:pt idx="0">
                  <c:v>444464072.28999996</c:v>
                </c:pt>
                <c:pt idx="1">
                  <c:v>979772859.02999997</c:v>
                </c:pt>
                <c:pt idx="2">
                  <c:v>1291402222.3299999</c:v>
                </c:pt>
                <c:pt idx="3">
                  <c:v>1648291513.71</c:v>
                </c:pt>
                <c:pt idx="4">
                  <c:v>2151745086.3400002</c:v>
                </c:pt>
                <c:pt idx="5">
                  <c:v>2541767797.1600003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0-4527-B6BF-A7243EBF8764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(kum)'!$F$28:$F$39</c:f>
              <c:numCache>
                <c:formatCode>#\ ##0_ ;\-#\ ##0\ </c:formatCode>
                <c:ptCount val="12"/>
                <c:pt idx="0">
                  <c:v>442753666.66666669</c:v>
                </c:pt>
                <c:pt idx="1">
                  <c:v>885507333.33333337</c:v>
                </c:pt>
                <c:pt idx="2">
                  <c:v>1328261000</c:v>
                </c:pt>
                <c:pt idx="3">
                  <c:v>1771014666.6666667</c:v>
                </c:pt>
                <c:pt idx="4">
                  <c:v>2213768333.3333335</c:v>
                </c:pt>
                <c:pt idx="5">
                  <c:v>2656522000</c:v>
                </c:pt>
                <c:pt idx="6">
                  <c:v>3099275666.666667</c:v>
                </c:pt>
                <c:pt idx="7">
                  <c:v>3542029333.3333335</c:v>
                </c:pt>
                <c:pt idx="8">
                  <c:v>3984783000</c:v>
                </c:pt>
                <c:pt idx="9">
                  <c:v>4427536666.666667</c:v>
                </c:pt>
                <c:pt idx="10">
                  <c:v>4870290333.333334</c:v>
                </c:pt>
                <c:pt idx="11">
                  <c:v>5313044000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0-4527-B6BF-A7243EBF8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3536"/>
        <c:axId val="290231936"/>
      </c:lineChart>
      <c:catAx>
        <c:axId val="2897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1936"/>
        <c:crosses val="autoZero"/>
        <c:auto val="1"/>
        <c:lblAlgn val="ctr"/>
        <c:lblOffset val="100"/>
        <c:noMultiLvlLbl val="0"/>
      </c:catAx>
      <c:valAx>
        <c:axId val="290231936"/>
        <c:scaling>
          <c:orientation val="minMax"/>
          <c:max val="63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3536"/>
        <c:crosses val="autoZero"/>
        <c:crossBetween val="between"/>
        <c:majorUnit val="9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83707352672871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</a:t>
            </a:r>
            <a:r>
              <a:rPr lang="cs-CZ" sz="1500" b="1">
                <a:solidFill>
                  <a:srgbClr val="000000"/>
                </a:solidFill>
              </a:rPr>
              <a:t>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(kum)'!$E$8:$E$13</c:f>
              <c:numCache>
                <c:formatCode>#\ ##0_ ;\-#\ ##0\ </c:formatCode>
                <c:ptCount val="6"/>
                <c:pt idx="0">
                  <c:v>11593018.73</c:v>
                </c:pt>
                <c:pt idx="1">
                  <c:v>22063847.719999999</c:v>
                </c:pt>
                <c:pt idx="2">
                  <c:v>31338529.219999999</c:v>
                </c:pt>
                <c:pt idx="3">
                  <c:v>40296815</c:v>
                </c:pt>
                <c:pt idx="4">
                  <c:v>50605424.140000001</c:v>
                </c:pt>
                <c:pt idx="5">
                  <c:v>55493499.520000003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B-4CF2-B478-5F30400BE0F6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(kum)'!$F$8:$F$19</c:f>
              <c:numCache>
                <c:formatCode>#\ ##0_ ;\-#\ ##0\ </c:formatCode>
                <c:ptCount val="12"/>
                <c:pt idx="0">
                  <c:v>10475833.333333334</c:v>
                </c:pt>
                <c:pt idx="1">
                  <c:v>20951666.666666668</c:v>
                </c:pt>
                <c:pt idx="2">
                  <c:v>31427500</c:v>
                </c:pt>
                <c:pt idx="3">
                  <c:v>41903333.333333336</c:v>
                </c:pt>
                <c:pt idx="4">
                  <c:v>52379166.666666672</c:v>
                </c:pt>
                <c:pt idx="5">
                  <c:v>62855000</c:v>
                </c:pt>
                <c:pt idx="6">
                  <c:v>73330833.333333343</c:v>
                </c:pt>
                <c:pt idx="7">
                  <c:v>83806666.666666672</c:v>
                </c:pt>
                <c:pt idx="8">
                  <c:v>94282500</c:v>
                </c:pt>
                <c:pt idx="9">
                  <c:v>104758333.33333334</c:v>
                </c:pt>
                <c:pt idx="10">
                  <c:v>115234166.66666667</c:v>
                </c:pt>
                <c:pt idx="11">
                  <c:v>125710000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B-4CF2-B478-5F30400BE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4560"/>
        <c:axId val="290233664"/>
      </c:lineChart>
      <c:catAx>
        <c:axId val="2897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3664"/>
        <c:crosses val="autoZero"/>
        <c:auto val="1"/>
        <c:lblAlgn val="ctr"/>
        <c:lblOffset val="100"/>
        <c:noMultiLvlLbl val="0"/>
      </c:catAx>
      <c:valAx>
        <c:axId val="290233664"/>
        <c:scaling>
          <c:orientation val="minMax"/>
          <c:max val="14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4560"/>
        <c:crosses val="autoZero"/>
        <c:crossBetween val="between"/>
        <c:majorUnit val="2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14796569968983"/>
          <c:y val="0.27570575938044983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(kum)'!$K$8:$K$13</c:f>
              <c:numCache>
                <c:formatCode>#\ ##0_ ;\-#\ ##0\ </c:formatCode>
                <c:ptCount val="6"/>
                <c:pt idx="0">
                  <c:v>28405151.210000001</c:v>
                </c:pt>
                <c:pt idx="1">
                  <c:v>61601924.310000002</c:v>
                </c:pt>
                <c:pt idx="2">
                  <c:v>87085822.460000008</c:v>
                </c:pt>
                <c:pt idx="3">
                  <c:v>114932945.42000002</c:v>
                </c:pt>
                <c:pt idx="4">
                  <c:v>142711956.19000003</c:v>
                </c:pt>
                <c:pt idx="5">
                  <c:v>160437554.22000003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B-4D3D-BDB7-E503D1962795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(kum)'!$L$8:$L$19</c:f>
              <c:numCache>
                <c:formatCode>#\ ##0_ ;\-#\ ##0\ </c:formatCode>
                <c:ptCount val="12"/>
                <c:pt idx="0">
                  <c:v>32872833.333333332</c:v>
                </c:pt>
                <c:pt idx="1">
                  <c:v>65745666.666666664</c:v>
                </c:pt>
                <c:pt idx="2">
                  <c:v>98618500</c:v>
                </c:pt>
                <c:pt idx="3">
                  <c:v>131491333.33333333</c:v>
                </c:pt>
                <c:pt idx="4">
                  <c:v>164364166.66666666</c:v>
                </c:pt>
                <c:pt idx="5">
                  <c:v>197237000</c:v>
                </c:pt>
                <c:pt idx="6">
                  <c:v>230109833.33333331</c:v>
                </c:pt>
                <c:pt idx="7">
                  <c:v>262982666.66666666</c:v>
                </c:pt>
                <c:pt idx="8">
                  <c:v>295855500</c:v>
                </c:pt>
                <c:pt idx="9">
                  <c:v>328728333.33333331</c:v>
                </c:pt>
                <c:pt idx="10">
                  <c:v>361601166.66666663</c:v>
                </c:pt>
                <c:pt idx="11">
                  <c:v>394474000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B-4D3D-BDB7-E503D1962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5584"/>
        <c:axId val="290489472"/>
      </c:lineChart>
      <c:catAx>
        <c:axId val="2897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89472"/>
        <c:crosses val="autoZero"/>
        <c:auto val="1"/>
        <c:lblAlgn val="ctr"/>
        <c:lblOffset val="100"/>
        <c:noMultiLvlLbl val="0"/>
      </c:catAx>
      <c:valAx>
        <c:axId val="290489472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5584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45885787265097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(kum)'!$H$8:$H$13</c:f>
              <c:numCache>
                <c:formatCode>#\ ##0_ ;\-#\ ##0\ </c:formatCode>
                <c:ptCount val="6"/>
                <c:pt idx="0">
                  <c:v>7878311.9699999997</c:v>
                </c:pt>
                <c:pt idx="1">
                  <c:v>14290477.940000001</c:v>
                </c:pt>
                <c:pt idx="2">
                  <c:v>45116865.159999996</c:v>
                </c:pt>
                <c:pt idx="3">
                  <c:v>45116865.159999996</c:v>
                </c:pt>
                <c:pt idx="4">
                  <c:v>45116865.159999996</c:v>
                </c:pt>
                <c:pt idx="5">
                  <c:v>45116865.159999996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1-4CD0-BD3C-8868B9F98B75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(kum)'!$I$8:$I$19</c:f>
              <c:numCache>
                <c:formatCode>#\ ##0_ ;\-#\ ##0\ </c:formatCode>
                <c:ptCount val="12"/>
                <c:pt idx="0">
                  <c:v>11688583.333333334</c:v>
                </c:pt>
                <c:pt idx="1">
                  <c:v>23377166.666666668</c:v>
                </c:pt>
                <c:pt idx="2">
                  <c:v>35065750</c:v>
                </c:pt>
                <c:pt idx="3">
                  <c:v>46754333.333333336</c:v>
                </c:pt>
                <c:pt idx="4">
                  <c:v>58442916.666666672</c:v>
                </c:pt>
                <c:pt idx="5">
                  <c:v>70131500</c:v>
                </c:pt>
                <c:pt idx="6">
                  <c:v>81820083.333333343</c:v>
                </c:pt>
                <c:pt idx="7">
                  <c:v>93508666.666666672</c:v>
                </c:pt>
                <c:pt idx="8">
                  <c:v>105197250</c:v>
                </c:pt>
                <c:pt idx="9">
                  <c:v>116885833.33333334</c:v>
                </c:pt>
                <c:pt idx="10">
                  <c:v>128574416.66666667</c:v>
                </c:pt>
                <c:pt idx="11">
                  <c:v>140263000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1-4CD0-BD3C-8868B9F98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8800"/>
        <c:axId val="290491200"/>
      </c:lineChart>
      <c:catAx>
        <c:axId val="290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1200"/>
        <c:crosses val="autoZero"/>
        <c:auto val="1"/>
        <c:lblAlgn val="ctr"/>
        <c:lblOffset val="100"/>
        <c:noMultiLvlLbl val="0"/>
      </c:catAx>
      <c:valAx>
        <c:axId val="290491200"/>
        <c:scaling>
          <c:orientation val="minMax"/>
          <c:max val="147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8800"/>
        <c:crosses val="autoZero"/>
        <c:crossBetween val="between"/>
        <c:majorUnit val="21000000"/>
        <c:minorUnit val="27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66611932129175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2025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(kum)'!$H$28:$H$33</c:f>
              <c:numCache>
                <c:formatCode>#\ ##0_ ;\-#\ ##0\ </c:formatCode>
                <c:ptCount val="6"/>
                <c:pt idx="0">
                  <c:v>717989634.18999994</c:v>
                </c:pt>
                <c:pt idx="1">
                  <c:v>1473379314.5</c:v>
                </c:pt>
                <c:pt idx="2">
                  <c:v>2326983570.5</c:v>
                </c:pt>
                <c:pt idx="3">
                  <c:v>3052930878.8899999</c:v>
                </c:pt>
                <c:pt idx="4">
                  <c:v>3813401454.3400002</c:v>
                </c:pt>
                <c:pt idx="5">
                  <c:v>4298714129.4800005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2-47FC-B102-43DBCAD137D8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(kum)'!$I$28:$I$39</c:f>
              <c:numCache>
                <c:formatCode>#\ ##0_ ;\-#\ ##0\ </c:formatCode>
                <c:ptCount val="12"/>
                <c:pt idx="0">
                  <c:v>880005416.66666663</c:v>
                </c:pt>
                <c:pt idx="1">
                  <c:v>1760010833.3333333</c:v>
                </c:pt>
                <c:pt idx="2">
                  <c:v>2640016250</c:v>
                </c:pt>
                <c:pt idx="3">
                  <c:v>3520021666.6666665</c:v>
                </c:pt>
                <c:pt idx="4">
                  <c:v>4400027083.333333</c:v>
                </c:pt>
                <c:pt idx="5">
                  <c:v>5280032500</c:v>
                </c:pt>
                <c:pt idx="6">
                  <c:v>6160037916.666666</c:v>
                </c:pt>
                <c:pt idx="7">
                  <c:v>7040043333.333333</c:v>
                </c:pt>
                <c:pt idx="8">
                  <c:v>7920048750</c:v>
                </c:pt>
                <c:pt idx="9">
                  <c:v>8800054166.666666</c:v>
                </c:pt>
                <c:pt idx="10">
                  <c:v>9680059583.3333321</c:v>
                </c:pt>
                <c:pt idx="11">
                  <c:v>10560065000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2-47FC-B102-43DBCAD13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9824"/>
        <c:axId val="290492928"/>
      </c:lineChart>
      <c:catAx>
        <c:axId val="2908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2928"/>
        <c:crosses val="autoZero"/>
        <c:auto val="1"/>
        <c:lblAlgn val="ctr"/>
        <c:lblOffset val="100"/>
        <c:noMultiLvlLbl val="0"/>
      </c:catAx>
      <c:valAx>
        <c:axId val="290492928"/>
        <c:scaling>
          <c:orientation val="minMax"/>
          <c:max val="11200000000.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9824"/>
        <c:crosses val="autoZero"/>
        <c:crossBetween val="between"/>
        <c:majorUnit val="1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152618135376754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2025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(kum)'!$B$28:$B$33</c:f>
              <c:numCache>
                <c:formatCode>#\ ##0_ ;\-#\ ##0\ </c:formatCode>
                <c:ptCount val="6"/>
                <c:pt idx="0">
                  <c:v>54055820.659999996</c:v>
                </c:pt>
                <c:pt idx="1">
                  <c:v>70921983.459999993</c:v>
                </c:pt>
                <c:pt idx="2">
                  <c:v>411670499.53999996</c:v>
                </c:pt>
                <c:pt idx="3">
                  <c:v>612908958.18999994</c:v>
                </c:pt>
                <c:pt idx="4">
                  <c:v>681075829.41999996</c:v>
                </c:pt>
                <c:pt idx="5">
                  <c:v>682264443.52999997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9-4E84-BF5C-D415E0D20963}"/>
            </c:ext>
          </c:extLst>
        </c:ser>
        <c:ser>
          <c:idx val="1"/>
          <c:order val="1"/>
          <c:tx>
            <c:v>skutečnost 2024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(kum)'!$B$28:$B$39</c:f>
              <c:numCache>
                <c:formatCode>#\ ##0_ ;\-#\ ##0\ </c:formatCode>
                <c:ptCount val="12"/>
                <c:pt idx="0">
                  <c:v>48404110.170000002</c:v>
                </c:pt>
                <c:pt idx="1">
                  <c:v>69237871.060000002</c:v>
                </c:pt>
                <c:pt idx="2">
                  <c:v>542725007.04999995</c:v>
                </c:pt>
                <c:pt idx="3">
                  <c:v>614680682.03999996</c:v>
                </c:pt>
                <c:pt idx="4">
                  <c:v>675842490.89999998</c:v>
                </c:pt>
                <c:pt idx="5">
                  <c:v>1045388330.5599999</c:v>
                </c:pt>
                <c:pt idx="6">
                  <c:v>1651646089.23</c:v>
                </c:pt>
                <c:pt idx="7">
                  <c:v>1651646089.23</c:v>
                </c:pt>
                <c:pt idx="8">
                  <c:v>1882560669.6100001</c:v>
                </c:pt>
                <c:pt idx="9">
                  <c:v>2116484859.1000001</c:v>
                </c:pt>
                <c:pt idx="10">
                  <c:v>2143610653.6300001</c:v>
                </c:pt>
                <c:pt idx="11">
                  <c:v>2626124215.54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9-4E84-BF5C-D415E0D20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91456"/>
        <c:axId val="290494656"/>
      </c:lineChart>
      <c:catAx>
        <c:axId val="2206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4656"/>
        <c:crosses val="autoZero"/>
        <c:auto val="1"/>
        <c:lblAlgn val="ctr"/>
        <c:lblOffset val="100"/>
        <c:noMultiLvlLbl val="0"/>
      </c:catAx>
      <c:valAx>
        <c:axId val="290494656"/>
        <c:scaling>
          <c:orientation val="minMax"/>
          <c:max val="31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91456"/>
        <c:crosses val="autoZero"/>
        <c:crossBetween val="between"/>
        <c:majorUnit val="4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68076081007112"/>
          <c:y val="0.29490540056212627"/>
          <c:w val="0.32086161284437148"/>
          <c:h val="0.154934827306509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2025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(kum)'!$B$8:$B$13</c:f>
              <c:numCache>
                <c:formatCode>#\ ##0_ ;\-#\ ##0\ </c:formatCode>
                <c:ptCount val="6"/>
                <c:pt idx="0">
                  <c:v>171593259.33000001</c:v>
                </c:pt>
                <c:pt idx="1">
                  <c:v>324728222.04000002</c:v>
                </c:pt>
                <c:pt idx="2">
                  <c:v>460369631.79000002</c:v>
                </c:pt>
                <c:pt idx="3">
                  <c:v>591383781.41000009</c:v>
                </c:pt>
                <c:pt idx="4">
                  <c:v>742146293.09000015</c:v>
                </c:pt>
                <c:pt idx="5">
                  <c:v>813633969.8900001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6-43C4-91FA-FC81265F77F8}"/>
            </c:ext>
          </c:extLst>
        </c:ser>
        <c:ser>
          <c:idx val="1"/>
          <c:order val="1"/>
          <c:tx>
            <c:v>skutečnost 2024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(kum)'!$B$8:$B$19</c:f>
              <c:numCache>
                <c:formatCode>#\ ##0_ ;\-#\ ##0\ </c:formatCode>
                <c:ptCount val="12"/>
                <c:pt idx="0">
                  <c:v>159348196.32999998</c:v>
                </c:pt>
                <c:pt idx="1">
                  <c:v>307011351.53999996</c:v>
                </c:pt>
                <c:pt idx="2">
                  <c:v>432625198.16999996</c:v>
                </c:pt>
                <c:pt idx="3">
                  <c:v>545639035.69999993</c:v>
                </c:pt>
                <c:pt idx="4">
                  <c:v>687828359.70999992</c:v>
                </c:pt>
                <c:pt idx="5">
                  <c:v>843706857.93999994</c:v>
                </c:pt>
                <c:pt idx="6">
                  <c:v>1007746164.7199999</c:v>
                </c:pt>
                <c:pt idx="7">
                  <c:v>1170473966.6699998</c:v>
                </c:pt>
                <c:pt idx="8">
                  <c:v>1305176205.1899998</c:v>
                </c:pt>
                <c:pt idx="9">
                  <c:v>1459817551.8699999</c:v>
                </c:pt>
                <c:pt idx="10">
                  <c:v>1618545897.1699998</c:v>
                </c:pt>
                <c:pt idx="11">
                  <c:v>1805692795.3099999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6-43C4-91FA-FC81265F7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8272"/>
        <c:axId val="290955264"/>
      </c:lineChart>
      <c:catAx>
        <c:axId val="22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5264"/>
        <c:crosses val="autoZero"/>
        <c:auto val="1"/>
        <c:lblAlgn val="ctr"/>
        <c:lblOffset val="100"/>
        <c:noMultiLvlLbl val="0"/>
      </c:catAx>
      <c:valAx>
        <c:axId val="290955264"/>
        <c:scaling>
          <c:orientation val="minMax"/>
          <c:max val="189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8272"/>
        <c:crosses val="autoZero"/>
        <c:crossBetween val="between"/>
        <c:majorUnit val="2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88802225871192"/>
          <c:y val="0.28535757713938287"/>
          <c:w val="0.32086161284437148"/>
          <c:h val="0.1693087855297157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2025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(kum)'!$E$28:$E$33</c:f>
              <c:numCache>
                <c:formatCode>#\ ##0_ ;\-#\ ##0\ </c:formatCode>
                <c:ptCount val="6"/>
                <c:pt idx="0">
                  <c:v>444464072.28999996</c:v>
                </c:pt>
                <c:pt idx="1">
                  <c:v>979772859.02999997</c:v>
                </c:pt>
                <c:pt idx="2">
                  <c:v>1291402222.3299999</c:v>
                </c:pt>
                <c:pt idx="3">
                  <c:v>1648291513.71</c:v>
                </c:pt>
                <c:pt idx="4">
                  <c:v>2151745086.3400002</c:v>
                </c:pt>
                <c:pt idx="5">
                  <c:v>2541767797.1600003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E-4EE9-9941-8A3ECEA1CE1E}"/>
            </c:ext>
          </c:extLst>
        </c:ser>
        <c:ser>
          <c:idx val="1"/>
          <c:order val="1"/>
          <c:tx>
            <c:v>skutečnost 2024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(kum)'!$E$28:$E$39</c:f>
              <c:numCache>
                <c:formatCode>#\ ##0_ ;\-#\ ##0\ </c:formatCode>
                <c:ptCount val="12"/>
                <c:pt idx="0">
                  <c:v>461611710.56</c:v>
                </c:pt>
                <c:pt idx="1">
                  <c:v>981470193.5</c:v>
                </c:pt>
                <c:pt idx="2">
                  <c:v>1295815184.5</c:v>
                </c:pt>
                <c:pt idx="3">
                  <c:v>1646931634.3400002</c:v>
                </c:pt>
                <c:pt idx="4">
                  <c:v>2124368138.5300002</c:v>
                </c:pt>
                <c:pt idx="5">
                  <c:v>2533667168.6000004</c:v>
                </c:pt>
                <c:pt idx="6">
                  <c:v>2960918545.9200006</c:v>
                </c:pt>
                <c:pt idx="7">
                  <c:v>3459721961.1200004</c:v>
                </c:pt>
                <c:pt idx="8">
                  <c:v>3823367786.0300002</c:v>
                </c:pt>
                <c:pt idx="9">
                  <c:v>4225892696.6800003</c:v>
                </c:pt>
                <c:pt idx="10">
                  <c:v>4782369621.21</c:v>
                </c:pt>
                <c:pt idx="11">
                  <c:v>5271516085.3000002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E-4EE9-9941-8A3ECEA1C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296"/>
        <c:axId val="290956992"/>
      </c:lineChart>
      <c:catAx>
        <c:axId val="220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6992"/>
        <c:crosses val="autoZero"/>
        <c:auto val="1"/>
        <c:lblAlgn val="ctr"/>
        <c:lblOffset val="100"/>
        <c:noMultiLvlLbl val="0"/>
      </c:catAx>
      <c:valAx>
        <c:axId val="290956992"/>
        <c:scaling>
          <c:orientation val="minMax"/>
          <c:max val="56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296"/>
        <c:crosses val="autoZero"/>
        <c:crossBetween val="between"/>
        <c:majorUnit val="8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36986863711003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2025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(kum)'!$E$8:$E$13</c:f>
              <c:numCache>
                <c:formatCode>#\ ##0_ ;\-#\ ##0\ </c:formatCode>
                <c:ptCount val="6"/>
                <c:pt idx="0">
                  <c:v>11593018.73</c:v>
                </c:pt>
                <c:pt idx="1">
                  <c:v>22063847.719999999</c:v>
                </c:pt>
                <c:pt idx="2">
                  <c:v>31338529.219999999</c:v>
                </c:pt>
                <c:pt idx="3">
                  <c:v>40296815</c:v>
                </c:pt>
                <c:pt idx="4">
                  <c:v>50605424.140000001</c:v>
                </c:pt>
                <c:pt idx="5">
                  <c:v>55493499.520000003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9-42FE-B1C6-1A7FE3269860}"/>
            </c:ext>
          </c:extLst>
        </c:ser>
        <c:ser>
          <c:idx val="1"/>
          <c:order val="1"/>
          <c:tx>
            <c:v>skutečnost 2024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(kum)'!$E$8:$E$19</c:f>
              <c:numCache>
                <c:formatCode>#\ ##0_ ;\-#\ ##0\ </c:formatCode>
                <c:ptCount val="12"/>
                <c:pt idx="0">
                  <c:v>10367156.5</c:v>
                </c:pt>
                <c:pt idx="1">
                  <c:v>20110527.190000001</c:v>
                </c:pt>
                <c:pt idx="2">
                  <c:v>28399001.5</c:v>
                </c:pt>
                <c:pt idx="3">
                  <c:v>35856079.82</c:v>
                </c:pt>
                <c:pt idx="4">
                  <c:v>45238266.519999996</c:v>
                </c:pt>
                <c:pt idx="5">
                  <c:v>55523716.5</c:v>
                </c:pt>
                <c:pt idx="6">
                  <c:v>66347647.289999999</c:v>
                </c:pt>
                <c:pt idx="7">
                  <c:v>77085040.069999993</c:v>
                </c:pt>
                <c:pt idx="8">
                  <c:v>86355138.579999998</c:v>
                </c:pt>
                <c:pt idx="9">
                  <c:v>96606492.480000004</c:v>
                </c:pt>
                <c:pt idx="10">
                  <c:v>107128778.19</c:v>
                </c:pt>
                <c:pt idx="11">
                  <c:v>119534962.69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9-42FE-B1C6-1A7FE3269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808"/>
        <c:axId val="290958720"/>
      </c:lineChart>
      <c:catAx>
        <c:axId val="2205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8720"/>
        <c:crosses val="autoZero"/>
        <c:auto val="1"/>
        <c:lblAlgn val="ctr"/>
        <c:lblOffset val="100"/>
        <c:noMultiLvlLbl val="0"/>
      </c:catAx>
      <c:valAx>
        <c:axId val="290958720"/>
        <c:scaling>
          <c:orientation val="minMax"/>
          <c:max val="126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808"/>
        <c:crosses val="autoZero"/>
        <c:crossBetween val="between"/>
        <c:majorUnit val="18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7570565435476518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18915562248995985"/>
          <c:w val="0.8294133528901515"/>
          <c:h val="0.56257095046854166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(kum)'!$H$8:$H$19</c:f>
              <c:numCache>
                <c:formatCode>#\ ##0_ ;\-#\ ##0\ </c:formatCode>
                <c:ptCount val="12"/>
                <c:pt idx="0">
                  <c:v>1640943.81</c:v>
                </c:pt>
                <c:pt idx="1">
                  <c:v>2215484.8200000003</c:v>
                </c:pt>
                <c:pt idx="2">
                  <c:v>2798150.18</c:v>
                </c:pt>
                <c:pt idx="3">
                  <c:v>2814830.18</c:v>
                </c:pt>
                <c:pt idx="4">
                  <c:v>2917390.1300000004</c:v>
                </c:pt>
                <c:pt idx="5">
                  <c:v>4142416.5100000002</c:v>
                </c:pt>
                <c:pt idx="6">
                  <c:v>5146840.37</c:v>
                </c:pt>
                <c:pt idx="7">
                  <c:v>5764764.04</c:v>
                </c:pt>
                <c:pt idx="8">
                  <c:v>10680056.120000001</c:v>
                </c:pt>
                <c:pt idx="9">
                  <c:v>12089203.520000001</c:v>
                </c:pt>
                <c:pt idx="10">
                  <c:v>13786732.190000001</c:v>
                </c:pt>
                <c:pt idx="11">
                  <c:v>22687808.93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1-4FF1-91E5-51A69E710783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(kum)'!$I$8:$I$19</c:f>
              <c:numCache>
                <c:formatCode>#\ ##0_ ;\-#\ ##0\ </c:formatCode>
                <c:ptCount val="12"/>
                <c:pt idx="0">
                  <c:v>2042166.6666666667</c:v>
                </c:pt>
                <c:pt idx="1">
                  <c:v>4084333.3333333335</c:v>
                </c:pt>
                <c:pt idx="2">
                  <c:v>6126500</c:v>
                </c:pt>
                <c:pt idx="3">
                  <c:v>8168666.666666667</c:v>
                </c:pt>
                <c:pt idx="4">
                  <c:v>10210833.333333334</c:v>
                </c:pt>
                <c:pt idx="5">
                  <c:v>12253000</c:v>
                </c:pt>
                <c:pt idx="6">
                  <c:v>14295166.666666668</c:v>
                </c:pt>
                <c:pt idx="7">
                  <c:v>16337333.333333334</c:v>
                </c:pt>
                <c:pt idx="8">
                  <c:v>18379500</c:v>
                </c:pt>
                <c:pt idx="9">
                  <c:v>20421666.666666668</c:v>
                </c:pt>
                <c:pt idx="10">
                  <c:v>22463833.333333336</c:v>
                </c:pt>
                <c:pt idx="11">
                  <c:v>24506000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1-4FF1-91E5-51A69E710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101440"/>
        <c:axId val="222834624"/>
      </c:lineChart>
      <c:catAx>
        <c:axId val="2231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834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34624"/>
        <c:scaling>
          <c:orientation val="minMax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3101440"/>
        <c:crosses val="autoZero"/>
        <c:crossBetween val="between"/>
        <c:majorUnit val="3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2025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(kum)'!$K$8:$K$13</c:f>
              <c:numCache>
                <c:formatCode>#\ ##0_ ;\-#\ ##0\ </c:formatCode>
                <c:ptCount val="6"/>
                <c:pt idx="0">
                  <c:v>28405151.210000001</c:v>
                </c:pt>
                <c:pt idx="1">
                  <c:v>61601924.310000002</c:v>
                </c:pt>
                <c:pt idx="2">
                  <c:v>87085822.460000008</c:v>
                </c:pt>
                <c:pt idx="3">
                  <c:v>114932945.42000002</c:v>
                </c:pt>
                <c:pt idx="4">
                  <c:v>142711956.19000003</c:v>
                </c:pt>
                <c:pt idx="5">
                  <c:v>160437554.22000003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7-4121-B104-832E7CD6F685}"/>
            </c:ext>
          </c:extLst>
        </c:ser>
        <c:ser>
          <c:idx val="1"/>
          <c:order val="1"/>
          <c:tx>
            <c:v>skutečnost 2024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(kum)'!$K$8:$K$19</c:f>
              <c:numCache>
                <c:formatCode>#\ ##0_ ;\-#\ ##0\ </c:formatCode>
                <c:ptCount val="12"/>
                <c:pt idx="0">
                  <c:v>34265336.329999998</c:v>
                </c:pt>
                <c:pt idx="1">
                  <c:v>69155146.030000001</c:v>
                </c:pt>
                <c:pt idx="2">
                  <c:v>98753238.789999992</c:v>
                </c:pt>
                <c:pt idx="3">
                  <c:v>124602688.10999998</c:v>
                </c:pt>
                <c:pt idx="4">
                  <c:v>155861395.31</c:v>
                </c:pt>
                <c:pt idx="5">
                  <c:v>189856819.48000002</c:v>
                </c:pt>
                <c:pt idx="6">
                  <c:v>246508115.97000003</c:v>
                </c:pt>
                <c:pt idx="7">
                  <c:v>285479833.39000005</c:v>
                </c:pt>
                <c:pt idx="8">
                  <c:v>327284967.14000005</c:v>
                </c:pt>
                <c:pt idx="9">
                  <c:v>360962053.53000003</c:v>
                </c:pt>
                <c:pt idx="10">
                  <c:v>391590811.07000005</c:v>
                </c:pt>
                <c:pt idx="11">
                  <c:v>423976229.88000005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7-4121-B104-832E7CD6F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01856"/>
        <c:axId val="290960448"/>
      </c:lineChart>
      <c:catAx>
        <c:axId val="2206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0448"/>
        <c:crosses val="autoZero"/>
        <c:auto val="1"/>
        <c:lblAlgn val="ctr"/>
        <c:lblOffset val="100"/>
        <c:noMultiLvlLbl val="0"/>
      </c:catAx>
      <c:valAx>
        <c:axId val="290960448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01856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09528370735266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2025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(kum)'!$H$8:$H$13</c:f>
              <c:numCache>
                <c:formatCode>#\ ##0_ ;\-#\ ##0\ </c:formatCode>
                <c:ptCount val="6"/>
                <c:pt idx="0">
                  <c:v>7878311.9699999997</c:v>
                </c:pt>
                <c:pt idx="1">
                  <c:v>14290477.940000001</c:v>
                </c:pt>
                <c:pt idx="2">
                  <c:v>45116865.159999996</c:v>
                </c:pt>
                <c:pt idx="3">
                  <c:v>45116865.159999996</c:v>
                </c:pt>
                <c:pt idx="4">
                  <c:v>45116865.159999996</c:v>
                </c:pt>
                <c:pt idx="5">
                  <c:v>45116865.159999996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6-49E7-8A33-92CA8BB020D2}"/>
            </c:ext>
          </c:extLst>
        </c:ser>
        <c:ser>
          <c:idx val="1"/>
          <c:order val="1"/>
          <c:tx>
            <c:v>skutečnost 2024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(kum)'!$H$8:$H$19</c:f>
              <c:numCache>
                <c:formatCode>#\ ##0_ ;\-#\ ##0\ </c:formatCode>
                <c:ptCount val="12"/>
                <c:pt idx="0">
                  <c:v>7777615.9100000001</c:v>
                </c:pt>
                <c:pt idx="1">
                  <c:v>13739269.279999999</c:v>
                </c:pt>
                <c:pt idx="2">
                  <c:v>25638047.549999997</c:v>
                </c:pt>
                <c:pt idx="3">
                  <c:v>25638047.549999997</c:v>
                </c:pt>
                <c:pt idx="4">
                  <c:v>25638047.549999997</c:v>
                </c:pt>
                <c:pt idx="5">
                  <c:v>25638047.549999997</c:v>
                </c:pt>
                <c:pt idx="6">
                  <c:v>64983252.359999999</c:v>
                </c:pt>
                <c:pt idx="7">
                  <c:v>64983252.359999999</c:v>
                </c:pt>
                <c:pt idx="8">
                  <c:v>81272333.530000001</c:v>
                </c:pt>
                <c:pt idx="9">
                  <c:v>93981715.319999993</c:v>
                </c:pt>
                <c:pt idx="10">
                  <c:v>101616256.50999999</c:v>
                </c:pt>
                <c:pt idx="11">
                  <c:v>136349858.97999999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6-49E7-8A33-92CA8BB02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0496"/>
        <c:axId val="290962176"/>
      </c:lineChart>
      <c:catAx>
        <c:axId val="2907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2176"/>
        <c:crosses val="autoZero"/>
        <c:auto val="1"/>
        <c:lblAlgn val="ctr"/>
        <c:lblOffset val="100"/>
        <c:noMultiLvlLbl val="0"/>
      </c:catAx>
      <c:valAx>
        <c:axId val="290962176"/>
        <c:scaling>
          <c:orientation val="minMax"/>
          <c:max val="147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0496"/>
        <c:crosses val="autoZero"/>
        <c:crossBetween val="between"/>
        <c:majorUnit val="21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50980660463418"/>
          <c:y val="0.28535757713938287"/>
          <c:w val="0.31796524356869182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Sdílené daně</a:t>
            </a:r>
            <a:r>
              <a:rPr lang="cs-CZ" sz="1800" b="1" baseline="0">
                <a:solidFill>
                  <a:srgbClr val="000000"/>
                </a:solidFill>
              </a:rPr>
              <a:t> města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2025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(kum)'!$H$28:$H$33</c:f>
              <c:numCache>
                <c:formatCode>#\ ##0_ ;\-#\ ##0\ </c:formatCode>
                <c:ptCount val="6"/>
                <c:pt idx="0">
                  <c:v>717989634.18999994</c:v>
                </c:pt>
                <c:pt idx="1">
                  <c:v>1473379314.5</c:v>
                </c:pt>
                <c:pt idx="2">
                  <c:v>2326983570.5</c:v>
                </c:pt>
                <c:pt idx="3">
                  <c:v>3052930878.8899999</c:v>
                </c:pt>
                <c:pt idx="4">
                  <c:v>3813401454.3400002</c:v>
                </c:pt>
                <c:pt idx="5">
                  <c:v>4298714129.4800005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B-4391-9B0B-E0876FA4D370}"/>
            </c:ext>
          </c:extLst>
        </c:ser>
        <c:ser>
          <c:idx val="1"/>
          <c:order val="1"/>
          <c:tx>
            <c:v>skutečnost 2024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(kum)'!$H$28:$H$39</c:f>
              <c:numCache>
                <c:formatCode>#\ ##0_ ;\-#\ ##0\ </c:formatCode>
                <c:ptCount val="12"/>
                <c:pt idx="0">
                  <c:v>721774125.79999995</c:v>
                </c:pt>
                <c:pt idx="1">
                  <c:v>1460724358.5999999</c:v>
                </c:pt>
                <c:pt idx="2">
                  <c:v>2423955677.5599999</c:v>
                </c:pt>
                <c:pt idx="3">
                  <c:v>2993348167.5599999</c:v>
                </c:pt>
                <c:pt idx="4">
                  <c:v>3714776698.52</c:v>
                </c:pt>
                <c:pt idx="5">
                  <c:v>4693780940.6300001</c:v>
                </c:pt>
                <c:pt idx="6">
                  <c:v>5998149815.4899998</c:v>
                </c:pt>
                <c:pt idx="7">
                  <c:v>6709390142.8400002</c:v>
                </c:pt>
                <c:pt idx="8">
                  <c:v>7506017100.0799999</c:v>
                </c:pt>
                <c:pt idx="9">
                  <c:v>8353745368.9800005</c:v>
                </c:pt>
                <c:pt idx="10">
                  <c:v>9144862017.7799988</c:v>
                </c:pt>
                <c:pt idx="11">
                  <c:v>10383194147.700001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B-4391-9B0B-E0876FA4D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2032"/>
        <c:axId val="291660352"/>
      </c:lineChart>
      <c:catAx>
        <c:axId val="2907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1660352"/>
        <c:crosses val="autoZero"/>
        <c:auto val="1"/>
        <c:lblAlgn val="ctr"/>
        <c:lblOffset val="100"/>
        <c:noMultiLvlLbl val="0"/>
      </c:catAx>
      <c:valAx>
        <c:axId val="291660352"/>
        <c:scaling>
          <c:orientation val="minMax"/>
          <c:max val="11200000000.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2032"/>
        <c:crosses val="autoZero"/>
        <c:crossBetween val="between"/>
        <c:majorUnit val="1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8535757713938287"/>
          <c:w val="0.32086161284437148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1565361445783141"/>
          <c:w val="0.79256435811020431"/>
          <c:h val="0.53789892904953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(kum)'!$K$8:$K$19</c:f>
              <c:numCache>
                <c:formatCode>#\ ##0_ ;\-#\ ##0\ </c:formatCode>
                <c:ptCount val="12"/>
                <c:pt idx="0">
                  <c:v>9555758</c:v>
                </c:pt>
                <c:pt idx="1">
                  <c:v>10756250</c:v>
                </c:pt>
                <c:pt idx="2">
                  <c:v>13568051</c:v>
                </c:pt>
                <c:pt idx="3">
                  <c:v>13568051</c:v>
                </c:pt>
                <c:pt idx="4">
                  <c:v>13568051</c:v>
                </c:pt>
                <c:pt idx="5">
                  <c:v>13568051</c:v>
                </c:pt>
                <c:pt idx="6">
                  <c:v>13568051</c:v>
                </c:pt>
                <c:pt idx="7">
                  <c:v>13568051</c:v>
                </c:pt>
                <c:pt idx="8">
                  <c:v>13568051</c:v>
                </c:pt>
                <c:pt idx="9">
                  <c:v>13568051</c:v>
                </c:pt>
                <c:pt idx="10">
                  <c:v>14348563</c:v>
                </c:pt>
                <c:pt idx="11">
                  <c:v>20677861.309999999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A-4AE5-AB3F-D54D208BA89B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(kum)'!$L$8:$L$19</c:f>
              <c:numCache>
                <c:formatCode>#\ ##0_ ;\-#\ ##0\ </c:formatCode>
                <c:ptCount val="12"/>
                <c:pt idx="0">
                  <c:v>1584083.3333333333</c:v>
                </c:pt>
                <c:pt idx="1">
                  <c:v>3168166.6666666665</c:v>
                </c:pt>
                <c:pt idx="2">
                  <c:v>4752250</c:v>
                </c:pt>
                <c:pt idx="3">
                  <c:v>6336333.333333333</c:v>
                </c:pt>
                <c:pt idx="4">
                  <c:v>7920416.666666666</c:v>
                </c:pt>
                <c:pt idx="5">
                  <c:v>9504500</c:v>
                </c:pt>
                <c:pt idx="6">
                  <c:v>11088583.333333332</c:v>
                </c:pt>
                <c:pt idx="7">
                  <c:v>12672666.666666666</c:v>
                </c:pt>
                <c:pt idx="8">
                  <c:v>14256750</c:v>
                </c:pt>
                <c:pt idx="9">
                  <c:v>15840833.333333332</c:v>
                </c:pt>
                <c:pt idx="10">
                  <c:v>17424916.666666664</c:v>
                </c:pt>
                <c:pt idx="11">
                  <c:v>19009000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A-4AE5-AB3F-D54D208BA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102464"/>
        <c:axId val="222836352"/>
      </c:lineChart>
      <c:catAx>
        <c:axId val="2231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836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36352"/>
        <c:scaling>
          <c:orientation val="minMax"/>
          <c:max val="24499999.999999996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3102464"/>
        <c:crosses val="autoZero"/>
        <c:crossBetween val="between"/>
        <c:majorUnit val="2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2012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209002677376172"/>
          <c:w val="0.78515625"/>
          <c:h val="0.53610174029451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(kum)'!$K$28:$K$39</c:f>
              <c:numCache>
                <c:formatCode>#\ ##0_ ;\-#\ ##0\ </c:formatCode>
                <c:ptCount val="12"/>
                <c:pt idx="0">
                  <c:v>617439950.80999994</c:v>
                </c:pt>
                <c:pt idx="1">
                  <c:v>1182447905.8199999</c:v>
                </c:pt>
                <c:pt idx="2">
                  <c:v>1507289287.1800001</c:v>
                </c:pt>
                <c:pt idx="3">
                  <c:v>1770207166.1800001</c:v>
                </c:pt>
                <c:pt idx="4">
                  <c:v>2254938229.1300001</c:v>
                </c:pt>
                <c:pt idx="5">
                  <c:v>2649484111.5100002</c:v>
                </c:pt>
                <c:pt idx="6">
                  <c:v>3231151486.3699999</c:v>
                </c:pt>
                <c:pt idx="7">
                  <c:v>3758297894.04</c:v>
                </c:pt>
                <c:pt idx="8">
                  <c:v>4003865379.3499999</c:v>
                </c:pt>
                <c:pt idx="9">
                  <c:v>4436936694.6100006</c:v>
                </c:pt>
                <c:pt idx="10">
                  <c:v>4971292694.6800003</c:v>
                </c:pt>
                <c:pt idx="11">
                  <c:v>5257934538.21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C-4F73-9092-259F14C27C2E}"/>
            </c:ext>
          </c:extLst>
        </c:ser>
        <c:ser>
          <c:idx val="1"/>
          <c:order val="1"/>
          <c:tx>
            <c:v>plán</c:v>
          </c:tx>
          <c:spPr>
            <a:ln w="25400"/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(kum)'!$L$28:$L$39</c:f>
              <c:numCache>
                <c:formatCode>#\ ##0_ ;\-#\ ##0\ </c:formatCode>
                <c:ptCount val="12"/>
                <c:pt idx="0">
                  <c:v>447365333.33333331</c:v>
                </c:pt>
                <c:pt idx="1">
                  <c:v>894730666.66666663</c:v>
                </c:pt>
                <c:pt idx="2">
                  <c:v>1342096000</c:v>
                </c:pt>
                <c:pt idx="3">
                  <c:v>1789461333.3333333</c:v>
                </c:pt>
                <c:pt idx="4">
                  <c:v>2236826666.6666665</c:v>
                </c:pt>
                <c:pt idx="5">
                  <c:v>2684192000</c:v>
                </c:pt>
                <c:pt idx="6">
                  <c:v>3131557333.333333</c:v>
                </c:pt>
                <c:pt idx="7">
                  <c:v>3578922666.6666665</c:v>
                </c:pt>
                <c:pt idx="8">
                  <c:v>4026288000</c:v>
                </c:pt>
                <c:pt idx="9">
                  <c:v>4473653333.333333</c:v>
                </c:pt>
                <c:pt idx="10">
                  <c:v>4921018666.666666</c:v>
                </c:pt>
                <c:pt idx="11">
                  <c:v>5368384000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C-4F73-9092-259F14C2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103488"/>
        <c:axId val="222838080"/>
      </c:lineChart>
      <c:catAx>
        <c:axId val="22310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83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38080"/>
        <c:scaling>
          <c:orientation val="minMax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3103488"/>
        <c:crosses val="autoZero"/>
        <c:crossBetween val="between"/>
        <c:majorUnit val="600000000.00000012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07"/>
          <c:y val="0.21542712842712897"/>
          <c:w val="0.80000153186567835"/>
          <c:h val="0.6033932178932186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(měs)'!$E$28:$E$39</c:f>
              <c:numCache>
                <c:formatCode>#\ ##0_ ;\-#\ ##0\ </c:formatCode>
                <c:ptCount val="12"/>
                <c:pt idx="0">
                  <c:v>195361108.00999999</c:v>
                </c:pt>
                <c:pt idx="1">
                  <c:v>7770690.7300000004</c:v>
                </c:pt>
                <c:pt idx="2">
                  <c:v>217676350.79000002</c:v>
                </c:pt>
                <c:pt idx="3">
                  <c:v>51949807.310000002</c:v>
                </c:pt>
                <c:pt idx="4">
                  <c:v>0</c:v>
                </c:pt>
                <c:pt idx="5">
                  <c:v>128645025.39999999</c:v>
                </c:pt>
                <c:pt idx="6">
                  <c:v>309216916.48000002</c:v>
                </c:pt>
                <c:pt idx="7">
                  <c:v>0</c:v>
                </c:pt>
                <c:pt idx="8">
                  <c:v>49536232.880000003</c:v>
                </c:pt>
                <c:pt idx="9">
                  <c:v>135139039.78</c:v>
                </c:pt>
                <c:pt idx="10">
                  <c:v>2364261.2200000002</c:v>
                </c:pt>
                <c:pt idx="11">
                  <c:v>121166801.92999999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5-4CD6-BC60-749371837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68416"/>
        <c:axId val="223724672"/>
      </c:lineChart>
      <c:catAx>
        <c:axId val="22386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372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724672"/>
        <c:scaling>
          <c:orientation val="minMax"/>
          <c:max val="32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3868416"/>
        <c:crosses val="autoZero"/>
        <c:crossBetween val="between"/>
        <c:majorUnit val="40000000"/>
      </c:valAx>
    </c:plotArea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'Vývoj2015-24'!$A$10:$A$11</c:f>
              <c:strCache>
                <c:ptCount val="1"/>
                <c:pt idx="0">
                  <c:v>Daň z příjmů právnických osob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>
                  <a:alpha val="95000"/>
                </a:srgb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'Vývoj2015-24'!$R$3:$AA$3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'Vývoj2015-24'!$R$10:$AA$10</c:f>
              <c:numCache>
                <c:formatCode>#,##0</c:formatCode>
                <c:ptCount val="10"/>
                <c:pt idx="0">
                  <c:v>1350117402.0699999</c:v>
                </c:pt>
                <c:pt idx="1">
                  <c:v>1539501529.52</c:v>
                </c:pt>
                <c:pt idx="2">
                  <c:v>1566737436.8199999</c:v>
                </c:pt>
                <c:pt idx="3">
                  <c:v>1501605470.3099999</c:v>
                </c:pt>
                <c:pt idx="4">
                  <c:v>1705001750.8900001</c:v>
                </c:pt>
                <c:pt idx="5">
                  <c:v>1374322595.1600001</c:v>
                </c:pt>
                <c:pt idx="6">
                  <c:v>1955031614.8699999</c:v>
                </c:pt>
                <c:pt idx="7">
                  <c:v>2243851139.6100001</c:v>
                </c:pt>
                <c:pt idx="8">
                  <c:v>2953173699.5599999</c:v>
                </c:pt>
                <c:pt idx="9">
                  <c:v>2626124215.54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4-4600-8B07-E36F587B0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27072"/>
        <c:axId val="213723968"/>
      </c:lineChart>
      <c:catAx>
        <c:axId val="21382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723968"/>
        <c:crosses val="autoZero"/>
        <c:auto val="1"/>
        <c:lblAlgn val="ctr"/>
        <c:lblOffset val="100"/>
        <c:noMultiLvlLbl val="0"/>
      </c:catAx>
      <c:valAx>
        <c:axId val="213723968"/>
        <c:scaling>
          <c:orientation val="minMax"/>
          <c:max val="3100000000"/>
          <c:min val="10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827072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21889105339105341"/>
          <c:w val="0.800781250000002"/>
          <c:h val="0.61031421356421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(měs)'!$H$28:$H$39</c:f>
              <c:numCache>
                <c:formatCode>#\ ##0_ ;\-#\ ##0\ </c:formatCode>
                <c:ptCount val="12"/>
                <c:pt idx="0">
                  <c:v>233160665.13999999</c:v>
                </c:pt>
                <c:pt idx="1">
                  <c:v>395388294.36000001</c:v>
                </c:pt>
                <c:pt idx="2">
                  <c:v>53996405.270000003</c:v>
                </c:pt>
                <c:pt idx="3">
                  <c:v>154047728.03999999</c:v>
                </c:pt>
                <c:pt idx="4">
                  <c:v>268169206.19</c:v>
                </c:pt>
                <c:pt idx="5">
                  <c:v>167245110.71000001</c:v>
                </c:pt>
                <c:pt idx="6">
                  <c:v>180667784.23000002</c:v>
                </c:pt>
                <c:pt idx="7">
                  <c:v>261609603.39999998</c:v>
                </c:pt>
                <c:pt idx="8">
                  <c:v>174236818.53999999</c:v>
                </c:pt>
                <c:pt idx="9">
                  <c:v>176764879.69</c:v>
                </c:pt>
                <c:pt idx="10">
                  <c:v>290168546.30000001</c:v>
                </c:pt>
                <c:pt idx="11">
                  <c:v>225226903.66999999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0-4E23-A50E-2F3D4F7ED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69952"/>
        <c:axId val="223726400"/>
      </c:lineChart>
      <c:catAx>
        <c:axId val="2238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72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726400"/>
        <c:scaling>
          <c:orientation val="minMax"/>
          <c:max val="490000000.00000006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3869952"/>
        <c:crosses val="autoZero"/>
        <c:crossBetween val="between"/>
        <c:majorUnit val="70000000"/>
        <c:minorUnit val="1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1"/>
          <c:y val="0.20553045515394924"/>
          <c:w val="0.8086643835616435"/>
          <c:h val="0.61555321285140563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(měs)'!$B$8:$B$19</c:f>
              <c:numCache>
                <c:formatCode>#\ ##0_ ;\-#\ ##0\ </c:formatCode>
                <c:ptCount val="12"/>
                <c:pt idx="0">
                  <c:v>161832799.65000001</c:v>
                </c:pt>
                <c:pt idx="1">
                  <c:v>91231843.439999998</c:v>
                </c:pt>
                <c:pt idx="2">
                  <c:v>80718093.189999998</c:v>
                </c:pt>
                <c:pt idx="3">
                  <c:v>63107175.879999995</c:v>
                </c:pt>
                <c:pt idx="4">
                  <c:v>82070577.549999997</c:v>
                </c:pt>
                <c:pt idx="5">
                  <c:v>96823312.359999999</c:v>
                </c:pt>
                <c:pt idx="6">
                  <c:v>88530595.439999998</c:v>
                </c:pt>
                <c:pt idx="7">
                  <c:v>103959769.13</c:v>
                </c:pt>
                <c:pt idx="8">
                  <c:v>78229685.270000011</c:v>
                </c:pt>
                <c:pt idx="9">
                  <c:v>99752094.25</c:v>
                </c:pt>
                <c:pt idx="10">
                  <c:v>100580043.12</c:v>
                </c:pt>
                <c:pt idx="11">
                  <c:v>110036384.27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8-4686-9A15-F1D2ABD38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93728"/>
        <c:axId val="223728128"/>
      </c:lineChart>
      <c:catAx>
        <c:axId val="22279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728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728128"/>
        <c:scaling>
          <c:orientation val="minMax"/>
          <c:max val="18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2793728"/>
        <c:crosses val="autoZero"/>
        <c:crossBetween val="between"/>
        <c:majorUnit val="2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1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20626406926406926"/>
          <c:w val="0.81108523592085235"/>
          <c:h val="0.6263008658008655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(měs)'!$E$8:$E$19</c:f>
              <c:numCache>
                <c:formatCode>#\ ##0_ ;\-#\ ##0\ </c:formatCode>
                <c:ptCount val="12"/>
                <c:pt idx="0">
                  <c:v>10985134.699999999</c:v>
                </c:pt>
                <c:pt idx="1">
                  <c:v>6351372</c:v>
                </c:pt>
                <c:pt idx="2">
                  <c:v>5619426.79</c:v>
                </c:pt>
                <c:pt idx="3">
                  <c:v>4393390.8099999996</c:v>
                </c:pt>
                <c:pt idx="4">
                  <c:v>5713583.5600000005</c:v>
                </c:pt>
                <c:pt idx="5">
                  <c:v>6740638.3300000001</c:v>
                </c:pt>
                <c:pt idx="6">
                  <c:v>7230678.4299999997</c:v>
                </c:pt>
                <c:pt idx="7">
                  <c:v>7237463.6900000004</c:v>
                </c:pt>
                <c:pt idx="8">
                  <c:v>5932036.6699999999</c:v>
                </c:pt>
                <c:pt idx="9">
                  <c:v>6947826.1500000004</c:v>
                </c:pt>
                <c:pt idx="10">
                  <c:v>7040312.0800000001</c:v>
                </c:pt>
                <c:pt idx="11">
                  <c:v>7664136.4699999997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6-4FA0-9075-9356B6833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94752"/>
        <c:axId val="223729856"/>
      </c:lineChart>
      <c:catAx>
        <c:axId val="22279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3729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729856"/>
        <c:scaling>
          <c:orientation val="minMax"/>
          <c:max val="12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2794752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095" footer="0.49212598450000095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1"/>
          <c:y val="0.24001948051948138"/>
          <c:w val="0.78669351101309615"/>
          <c:h val="0.5897745310245309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(měs)'!$B$28:$B$39</c:f>
              <c:numCache>
                <c:formatCode>#\ ##0_ ;\-#\ ##0\ </c:formatCode>
                <c:ptCount val="12"/>
                <c:pt idx="0">
                  <c:v>12078907.780000001</c:v>
                </c:pt>
                <c:pt idx="1">
                  <c:v>21202548.52</c:v>
                </c:pt>
                <c:pt idx="2">
                  <c:v>6587663.3399999999</c:v>
                </c:pt>
                <c:pt idx="3">
                  <c:v>7258070.5299999993</c:v>
                </c:pt>
                <c:pt idx="4">
                  <c:v>8895328.9000000004</c:v>
                </c:pt>
                <c:pt idx="5">
                  <c:v>8866453.0300000012</c:v>
                </c:pt>
                <c:pt idx="6">
                  <c:v>9638888.9600000009</c:v>
                </c:pt>
                <c:pt idx="7">
                  <c:v>10325659.59</c:v>
                </c:pt>
                <c:pt idx="8">
                  <c:v>10335658.449999999</c:v>
                </c:pt>
                <c:pt idx="9">
                  <c:v>10049655.280000001</c:v>
                </c:pt>
                <c:pt idx="10">
                  <c:v>9817527.5500000007</c:v>
                </c:pt>
                <c:pt idx="11">
                  <c:v>7965393.0299999993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3-4F01-8E69-9BC366F75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95264"/>
        <c:axId val="223936512"/>
      </c:lineChart>
      <c:catAx>
        <c:axId val="2227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936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936512"/>
        <c:scaling>
          <c:orientation val="minMax"/>
          <c:max val="24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2795264"/>
        <c:crosses val="autoZero"/>
        <c:crossBetween val="between"/>
        <c:majorUnit val="4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23590930388219622"/>
          <c:w val="0.8294133528901515"/>
          <c:h val="0.592323293172690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(měs)'!$H$8:$H$19</c:f>
              <c:numCache>
                <c:formatCode>#\ ##0_ ;\-#\ ##0\ </c:formatCode>
                <c:ptCount val="12"/>
                <c:pt idx="0">
                  <c:v>5354495.79</c:v>
                </c:pt>
                <c:pt idx="1">
                  <c:v>14447.81</c:v>
                </c:pt>
                <c:pt idx="2">
                  <c:v>1235835.03</c:v>
                </c:pt>
                <c:pt idx="3">
                  <c:v>3955.4</c:v>
                </c:pt>
                <c:pt idx="4" formatCode="#,##0">
                  <c:v>700342.24</c:v>
                </c:pt>
                <c:pt idx="5">
                  <c:v>177057.41</c:v>
                </c:pt>
                <c:pt idx="6">
                  <c:v>1305584.19</c:v>
                </c:pt>
                <c:pt idx="7">
                  <c:v>7023.630000000001</c:v>
                </c:pt>
                <c:pt idx="8">
                  <c:v>5521450.7699999996</c:v>
                </c:pt>
                <c:pt idx="9">
                  <c:v>6434032.959999999</c:v>
                </c:pt>
                <c:pt idx="10">
                  <c:v>15555.01</c:v>
                </c:pt>
                <c:pt idx="11">
                  <c:v>10344492.299999999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3-47D6-BB36-F1841FC0B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96288"/>
        <c:axId val="223939392"/>
      </c:lineChart>
      <c:catAx>
        <c:axId val="22279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939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939392"/>
        <c:scaling>
          <c:orientation val="minMax"/>
          <c:max val="12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2796288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539065656565665"/>
          <c:w val="0.79256435811020431"/>
          <c:h val="0.5761518759018775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(měs)'!$K$8:$K$19</c:f>
              <c:numCache>
                <c:formatCode>#\ ##0_ ;\-#\ ##0\ </c:formatCode>
                <c:ptCount val="12"/>
                <c:pt idx="0">
                  <c:v>8038656.1600000001</c:v>
                </c:pt>
                <c:pt idx="1">
                  <c:v>1119586.81</c:v>
                </c:pt>
                <c:pt idx="2">
                  <c:v>3084310.95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6439640.2999999998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C-4DBC-A8EC-FE3C2A6DE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97312"/>
        <c:axId val="223941120"/>
      </c:lineChart>
      <c:catAx>
        <c:axId val="2227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94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941120"/>
        <c:scaling>
          <c:orientation val="minMax"/>
          <c:max val="105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2797312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2013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3790160642570291"/>
          <c:w val="0.78515625"/>
          <c:h val="0.59560642570280997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(měs)'!$K$28:$K$39</c:f>
              <c:numCache>
                <c:formatCode>#\ ##0_ ;\-#\ ##0\ </c:formatCode>
                <c:ptCount val="12"/>
                <c:pt idx="0">
                  <c:v>626811767.23000002</c:v>
                </c:pt>
                <c:pt idx="1">
                  <c:v>523078783.67000002</c:v>
                </c:pt>
                <c:pt idx="2">
                  <c:v>368918085.36000001</c:v>
                </c:pt>
                <c:pt idx="3">
                  <c:v>280760127.97000003</c:v>
                </c:pt>
                <c:pt idx="4">
                  <c:v>365549038.44</c:v>
                </c:pt>
                <c:pt idx="5">
                  <c:v>408497597.24000001</c:v>
                </c:pt>
                <c:pt idx="6">
                  <c:v>596590447.73000002</c:v>
                </c:pt>
                <c:pt idx="7">
                  <c:v>383139519.43999994</c:v>
                </c:pt>
                <c:pt idx="8">
                  <c:v>323791882.58000004</c:v>
                </c:pt>
                <c:pt idx="9">
                  <c:v>435087528.11000001</c:v>
                </c:pt>
                <c:pt idx="10">
                  <c:v>409986245.28000003</c:v>
                </c:pt>
                <c:pt idx="11">
                  <c:v>488843751.97000003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0-4775-A220-6B302B4F5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54816"/>
        <c:axId val="223942848"/>
      </c:lineChart>
      <c:catAx>
        <c:axId val="22435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94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942848"/>
        <c:scaling>
          <c:orientation val="minMax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354816"/>
        <c:crosses val="autoZero"/>
        <c:crossBetween val="between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07"/>
          <c:y val="0.19821849593495941"/>
          <c:w val="0.80000153186567835"/>
          <c:h val="0.53886077235772367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(kum)'!$E$28:$E$39</c:f>
              <c:numCache>
                <c:formatCode>#\ ##0_ ;\-#\ ##0\ </c:formatCode>
                <c:ptCount val="12"/>
                <c:pt idx="0">
                  <c:v>195361108.00999999</c:v>
                </c:pt>
                <c:pt idx="1">
                  <c:v>203131798.73999998</c:v>
                </c:pt>
                <c:pt idx="2">
                  <c:v>420808149.52999997</c:v>
                </c:pt>
                <c:pt idx="3">
                  <c:v>472757956.83999997</c:v>
                </c:pt>
                <c:pt idx="4">
                  <c:v>472757956.83999997</c:v>
                </c:pt>
                <c:pt idx="5">
                  <c:v>601402982.24000001</c:v>
                </c:pt>
                <c:pt idx="6">
                  <c:v>910619898.72000003</c:v>
                </c:pt>
                <c:pt idx="7">
                  <c:v>910619898.72000003</c:v>
                </c:pt>
                <c:pt idx="8">
                  <c:v>960156131.60000002</c:v>
                </c:pt>
                <c:pt idx="9">
                  <c:v>1095295171.3800001</c:v>
                </c:pt>
                <c:pt idx="10">
                  <c:v>1097659432.6000001</c:v>
                </c:pt>
                <c:pt idx="11">
                  <c:v>1218826234.5300002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8-445D-A0E0-2715AAACCD9A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(kum)'!$F$28:$F$39</c:f>
              <c:numCache>
                <c:formatCode>#\ ##0_ ;\-#\ ##0\ </c:formatCode>
                <c:ptCount val="12"/>
                <c:pt idx="0">
                  <c:v>101473000</c:v>
                </c:pt>
                <c:pt idx="1">
                  <c:v>202946000</c:v>
                </c:pt>
                <c:pt idx="2">
                  <c:v>304419000</c:v>
                </c:pt>
                <c:pt idx="3">
                  <c:v>405892000</c:v>
                </c:pt>
                <c:pt idx="4">
                  <c:v>507365000</c:v>
                </c:pt>
                <c:pt idx="5">
                  <c:v>608838000</c:v>
                </c:pt>
                <c:pt idx="6">
                  <c:v>710311000</c:v>
                </c:pt>
                <c:pt idx="7">
                  <c:v>811784000</c:v>
                </c:pt>
                <c:pt idx="8">
                  <c:v>913257000</c:v>
                </c:pt>
                <c:pt idx="9">
                  <c:v>1014730000</c:v>
                </c:pt>
                <c:pt idx="10">
                  <c:v>1116203000</c:v>
                </c:pt>
                <c:pt idx="11">
                  <c:v>1217676000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8-445D-A0E0-2715AAACC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450240"/>
        <c:axId val="224034816"/>
      </c:lineChart>
      <c:catAx>
        <c:axId val="22145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4034816"/>
        <c:crosses val="autoZero"/>
        <c:auto val="1"/>
        <c:lblAlgn val="ctr"/>
        <c:lblOffset val="100"/>
        <c:noMultiLvlLbl val="0"/>
      </c:catAx>
      <c:valAx>
        <c:axId val="224034816"/>
        <c:scaling>
          <c:orientation val="minMax"/>
          <c:max val="135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1450240"/>
        <c:crosses val="autoZero"/>
        <c:crossBetween val="between"/>
        <c:majorUnit val="150000000"/>
      </c:valAx>
    </c:plotArea>
    <c:legend>
      <c:legendPos val="b"/>
      <c:overlay val="0"/>
      <c:txPr>
        <a:bodyPr/>
        <a:lstStyle/>
        <a:p>
          <a:pPr>
            <a:defRPr b="1" i="0" baseline="0"/>
          </a:pPr>
          <a:endParaRPr lang="cs-CZ"/>
        </a:p>
      </c:txPr>
    </c:legend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19338888888888889"/>
          <c:w val="0.800781250000002"/>
          <c:h val="0.55505990629183488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(kum)'!$H$28:$H$39</c:f>
              <c:numCache>
                <c:formatCode>#\ ##0_ ;\-#\ ##0\ </c:formatCode>
                <c:ptCount val="12"/>
                <c:pt idx="0">
                  <c:v>233160665.13999999</c:v>
                </c:pt>
                <c:pt idx="1">
                  <c:v>628548959.5</c:v>
                </c:pt>
                <c:pt idx="2">
                  <c:v>682545364.76999998</c:v>
                </c:pt>
                <c:pt idx="3">
                  <c:v>836593092.80999994</c:v>
                </c:pt>
                <c:pt idx="4">
                  <c:v>1104762299</c:v>
                </c:pt>
                <c:pt idx="5">
                  <c:v>1272007409.71</c:v>
                </c:pt>
                <c:pt idx="6">
                  <c:v>1452675193.9400001</c:v>
                </c:pt>
                <c:pt idx="7">
                  <c:v>1714284797.3400002</c:v>
                </c:pt>
                <c:pt idx="8">
                  <c:v>1888521615.8800001</c:v>
                </c:pt>
                <c:pt idx="9">
                  <c:v>2065286495.5700002</c:v>
                </c:pt>
                <c:pt idx="10">
                  <c:v>2355455041.8700004</c:v>
                </c:pt>
                <c:pt idx="11">
                  <c:v>2580681945.5400004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E-41C5-A61B-38928EE10B9F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(kum)'!$I$28:$I$39</c:f>
              <c:numCache>
                <c:formatCode>#\ ##0_ ;\-#\ ##0\ </c:formatCode>
                <c:ptCount val="12"/>
                <c:pt idx="0">
                  <c:v>201220833.33333334</c:v>
                </c:pt>
                <c:pt idx="1">
                  <c:v>402441666.66666669</c:v>
                </c:pt>
                <c:pt idx="2">
                  <c:v>603662500</c:v>
                </c:pt>
                <c:pt idx="3">
                  <c:v>804883333.33333337</c:v>
                </c:pt>
                <c:pt idx="4">
                  <c:v>1006104166.6666667</c:v>
                </c:pt>
                <c:pt idx="5">
                  <c:v>1207325000</c:v>
                </c:pt>
                <c:pt idx="6">
                  <c:v>1408545833.3333335</c:v>
                </c:pt>
                <c:pt idx="7">
                  <c:v>1609766666.6666667</c:v>
                </c:pt>
                <c:pt idx="8">
                  <c:v>1810987500</c:v>
                </c:pt>
                <c:pt idx="9">
                  <c:v>2012208333.3333335</c:v>
                </c:pt>
                <c:pt idx="10">
                  <c:v>2213429166.666667</c:v>
                </c:pt>
                <c:pt idx="11">
                  <c:v>2414650000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E-41C5-A61B-38928EE10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452288"/>
        <c:axId val="224036544"/>
      </c:lineChart>
      <c:catAx>
        <c:axId val="22145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/>
            </a:pPr>
            <a:endParaRPr lang="cs-CZ"/>
          </a:p>
        </c:txPr>
        <c:crossAx val="224036544"/>
        <c:crosses val="autoZero"/>
        <c:auto val="1"/>
        <c:lblAlgn val="ctr"/>
        <c:lblOffset val="100"/>
        <c:noMultiLvlLbl val="0"/>
      </c:catAx>
      <c:valAx>
        <c:axId val="224036544"/>
        <c:scaling>
          <c:orientation val="minMax"/>
          <c:max val="27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1452288"/>
        <c:crosses val="autoZero"/>
        <c:crossBetween val="between"/>
        <c:majorUnit val="300000000"/>
        <c:min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1"/>
          <c:y val="0.18427878179384224"/>
          <c:w val="0.8086643835616435"/>
          <c:h val="0.5475478580990628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(kum)'!$B$8:$B$19</c:f>
              <c:numCache>
                <c:formatCode>#\ ##0_ ;\-#\ ##0\ </c:formatCode>
                <c:ptCount val="12"/>
                <c:pt idx="0">
                  <c:v>161832799.65000001</c:v>
                </c:pt>
                <c:pt idx="1">
                  <c:v>253064643.09</c:v>
                </c:pt>
                <c:pt idx="2">
                  <c:v>333782736.27999997</c:v>
                </c:pt>
                <c:pt idx="3">
                  <c:v>396889912.15999997</c:v>
                </c:pt>
                <c:pt idx="4">
                  <c:v>478960489.70999998</c:v>
                </c:pt>
                <c:pt idx="5">
                  <c:v>575783802.06999993</c:v>
                </c:pt>
                <c:pt idx="6">
                  <c:v>664314397.50999999</c:v>
                </c:pt>
                <c:pt idx="7">
                  <c:v>768274166.63999999</c:v>
                </c:pt>
                <c:pt idx="8">
                  <c:v>846503851.90999997</c:v>
                </c:pt>
                <c:pt idx="9">
                  <c:v>946255946.15999997</c:v>
                </c:pt>
                <c:pt idx="10">
                  <c:v>1046835989.28</c:v>
                </c:pt>
                <c:pt idx="11">
                  <c:v>1156872373.55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D-4EA4-80CB-0C2381F8FDBD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(kum)'!$C$8:$C$19</c:f>
              <c:numCache>
                <c:formatCode>#\ ##0_ ;\-#\ ##0\ </c:formatCode>
                <c:ptCount val="12"/>
                <c:pt idx="0">
                  <c:v>96436083.333333328</c:v>
                </c:pt>
                <c:pt idx="1">
                  <c:v>192872166.66666666</c:v>
                </c:pt>
                <c:pt idx="2">
                  <c:v>289308250</c:v>
                </c:pt>
                <c:pt idx="3">
                  <c:v>385744333.33333331</c:v>
                </c:pt>
                <c:pt idx="4">
                  <c:v>482180416.66666663</c:v>
                </c:pt>
                <c:pt idx="5">
                  <c:v>578616500</c:v>
                </c:pt>
                <c:pt idx="6">
                  <c:v>675052583.33333325</c:v>
                </c:pt>
                <c:pt idx="7">
                  <c:v>771488666.66666663</c:v>
                </c:pt>
                <c:pt idx="8">
                  <c:v>867924750</c:v>
                </c:pt>
                <c:pt idx="9">
                  <c:v>964360833.33333325</c:v>
                </c:pt>
                <c:pt idx="10">
                  <c:v>1060796916.6666666</c:v>
                </c:pt>
                <c:pt idx="11">
                  <c:v>1157233000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D-4EA4-80CB-0C2381F8F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68704"/>
        <c:axId val="224038272"/>
      </c:lineChart>
      <c:catAx>
        <c:axId val="2249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60000" vert="horz"/>
          <a:lstStyle/>
          <a:p>
            <a:pPr>
              <a:defRPr/>
            </a:pPr>
            <a:endParaRPr lang="cs-CZ"/>
          </a:p>
        </c:txPr>
        <c:crossAx val="224038272"/>
        <c:crosses val="autoZero"/>
        <c:auto val="1"/>
        <c:lblAlgn val="ctr"/>
        <c:lblOffset val="100"/>
        <c:noMultiLvlLbl val="0"/>
      </c:catAx>
      <c:valAx>
        <c:axId val="224038272"/>
        <c:scaling>
          <c:orientation val="minMax"/>
          <c:max val="12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968704"/>
        <c:crosses val="autoZero"/>
        <c:crossBetween val="between"/>
        <c:majorUnit val="15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'Vývoj2015-24'!$A$12:$A$13</c:f>
              <c:strCache>
                <c:ptCount val="1"/>
                <c:pt idx="0">
                  <c:v>Daň z přidané hodnoty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'Vývoj2015-24'!$R$3:$AA$3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'Vývoj2015-24'!$R$12:$AA$12</c:f>
              <c:numCache>
                <c:formatCode>#,##0</c:formatCode>
                <c:ptCount val="10"/>
                <c:pt idx="0">
                  <c:v>2698545507.9899998</c:v>
                </c:pt>
                <c:pt idx="1">
                  <c:v>2814007939.02</c:v>
                </c:pt>
                <c:pt idx="2">
                  <c:v>3177404084.8200002</c:v>
                </c:pt>
                <c:pt idx="3">
                  <c:v>3698685906.6599998</c:v>
                </c:pt>
                <c:pt idx="4">
                  <c:v>3838579017.2199998</c:v>
                </c:pt>
                <c:pt idx="5">
                  <c:v>3770485099.27</c:v>
                </c:pt>
                <c:pt idx="6">
                  <c:v>4373309276.6899996</c:v>
                </c:pt>
                <c:pt idx="7">
                  <c:v>5098668513.0900002</c:v>
                </c:pt>
                <c:pt idx="8">
                  <c:v>5316407954.6099997</c:v>
                </c:pt>
                <c:pt idx="9">
                  <c:v>5271516085.3000002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4-44C3-86C1-C86E0F18C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989760"/>
        <c:axId val="213725696"/>
      </c:lineChart>
      <c:catAx>
        <c:axId val="21598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725696"/>
        <c:crosses val="autoZero"/>
        <c:auto val="1"/>
        <c:lblAlgn val="ctr"/>
        <c:lblOffset val="100"/>
        <c:noMultiLvlLbl val="0"/>
      </c:catAx>
      <c:valAx>
        <c:axId val="213725696"/>
        <c:scaling>
          <c:orientation val="minMax"/>
          <c:max val="5900000000"/>
          <c:min val="24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5989760"/>
        <c:crosses val="autoZero"/>
        <c:crossBetween val="between"/>
        <c:majorUnit val="5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1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19776338688085704"/>
          <c:w val="0.81108523592085235"/>
          <c:h val="0.55829551539491362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(kum)'!$E$8:$E$19</c:f>
              <c:numCache>
                <c:formatCode>#\ ##0_ ;\-#\ ##0\ </c:formatCode>
                <c:ptCount val="12"/>
                <c:pt idx="0">
                  <c:v>10985134.699999999</c:v>
                </c:pt>
                <c:pt idx="1">
                  <c:v>17336506.699999999</c:v>
                </c:pt>
                <c:pt idx="2">
                  <c:v>22955933.489999998</c:v>
                </c:pt>
                <c:pt idx="3">
                  <c:v>27349324.299999997</c:v>
                </c:pt>
                <c:pt idx="4">
                  <c:v>33062907.859999999</c:v>
                </c:pt>
                <c:pt idx="5">
                  <c:v>39803546.189999998</c:v>
                </c:pt>
                <c:pt idx="6">
                  <c:v>47034224.619999997</c:v>
                </c:pt>
                <c:pt idx="7">
                  <c:v>54271688.309999995</c:v>
                </c:pt>
                <c:pt idx="8">
                  <c:v>60203724.979999997</c:v>
                </c:pt>
                <c:pt idx="9">
                  <c:v>67151551.129999995</c:v>
                </c:pt>
                <c:pt idx="10">
                  <c:v>74191863.209999993</c:v>
                </c:pt>
                <c:pt idx="11">
                  <c:v>81855999.679999992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0-4F77-8AA0-F009558B2559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(kum)'!$F$8:$F$19</c:f>
              <c:numCache>
                <c:formatCode>#\ ##0_ ;\-#\ ##0\ </c:formatCode>
                <c:ptCount val="12"/>
                <c:pt idx="0">
                  <c:v>6427833.333333333</c:v>
                </c:pt>
                <c:pt idx="1">
                  <c:v>12855666.666666666</c:v>
                </c:pt>
                <c:pt idx="2">
                  <c:v>19283500</c:v>
                </c:pt>
                <c:pt idx="3">
                  <c:v>25711333.333333332</c:v>
                </c:pt>
                <c:pt idx="4">
                  <c:v>32139166.666666664</c:v>
                </c:pt>
                <c:pt idx="5">
                  <c:v>38567000</c:v>
                </c:pt>
                <c:pt idx="6">
                  <c:v>44994833.333333328</c:v>
                </c:pt>
                <c:pt idx="7">
                  <c:v>51422666.666666664</c:v>
                </c:pt>
                <c:pt idx="8">
                  <c:v>57850500</c:v>
                </c:pt>
                <c:pt idx="9">
                  <c:v>64278333.333333328</c:v>
                </c:pt>
                <c:pt idx="10">
                  <c:v>70706166.666666657</c:v>
                </c:pt>
                <c:pt idx="11">
                  <c:v>77134000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0-4F77-8AA0-F009558B2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70240"/>
        <c:axId val="224040000"/>
      </c:lineChart>
      <c:catAx>
        <c:axId val="2249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404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040000"/>
        <c:scaling>
          <c:orientation val="minMax"/>
          <c:max val="9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4970240"/>
        <c:crosses val="autoZero"/>
        <c:crossBetween val="between"/>
        <c:maj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095" footer="0.49212598450000095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1"/>
          <c:y val="0.19751606425702836"/>
          <c:w val="0.78669351101309615"/>
          <c:h val="0.5472710843373495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(kum)'!$B$28:$B$39</c:f>
              <c:numCache>
                <c:formatCode>#\ ##0_ ;\-#\ ##0\ </c:formatCode>
                <c:ptCount val="12"/>
                <c:pt idx="0">
                  <c:v>12078907.780000001</c:v>
                </c:pt>
                <c:pt idx="1">
                  <c:v>33281456.300000001</c:v>
                </c:pt>
                <c:pt idx="2">
                  <c:v>39869119.640000001</c:v>
                </c:pt>
                <c:pt idx="3">
                  <c:v>47127190.170000002</c:v>
                </c:pt>
                <c:pt idx="4">
                  <c:v>56022519.07</c:v>
                </c:pt>
                <c:pt idx="5">
                  <c:v>64888972.100000001</c:v>
                </c:pt>
                <c:pt idx="6">
                  <c:v>74527861.060000002</c:v>
                </c:pt>
                <c:pt idx="7">
                  <c:v>84853520.650000006</c:v>
                </c:pt>
                <c:pt idx="8">
                  <c:v>95189179.100000009</c:v>
                </c:pt>
                <c:pt idx="9">
                  <c:v>105238834.38000001</c:v>
                </c:pt>
                <c:pt idx="10">
                  <c:v>115056361.93000001</c:v>
                </c:pt>
                <c:pt idx="11">
                  <c:v>123021754.96000001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1-49A8-98F6-FF46666A269A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(kum)'!$C$28:$C$39</c:f>
              <c:numCache>
                <c:formatCode>#\ ##0_ ;\-#\ ##0\ </c:formatCode>
                <c:ptCount val="12"/>
                <c:pt idx="0">
                  <c:v>11086666.666666666</c:v>
                </c:pt>
                <c:pt idx="1">
                  <c:v>22173333.333333332</c:v>
                </c:pt>
                <c:pt idx="2">
                  <c:v>33260000</c:v>
                </c:pt>
                <c:pt idx="3">
                  <c:v>44346666.666666664</c:v>
                </c:pt>
                <c:pt idx="4">
                  <c:v>55433333.333333328</c:v>
                </c:pt>
                <c:pt idx="5">
                  <c:v>66520000</c:v>
                </c:pt>
                <c:pt idx="6">
                  <c:v>77606666.666666657</c:v>
                </c:pt>
                <c:pt idx="7">
                  <c:v>88693333.333333328</c:v>
                </c:pt>
                <c:pt idx="8">
                  <c:v>99780000</c:v>
                </c:pt>
                <c:pt idx="9">
                  <c:v>110866666.66666666</c:v>
                </c:pt>
                <c:pt idx="10">
                  <c:v>121953333.33333333</c:v>
                </c:pt>
                <c:pt idx="11">
                  <c:v>133040000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1-49A8-98F6-FF46666A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71264"/>
        <c:axId val="224041728"/>
      </c:lineChart>
      <c:catAx>
        <c:axId val="2249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404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041728"/>
        <c:scaling>
          <c:orientation val="minMax"/>
          <c:max val="14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971264"/>
        <c:crosses val="autoZero"/>
        <c:crossBetween val="between"/>
        <c:majorUnit val="2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18915562248995985"/>
          <c:w val="0.8294133528901515"/>
          <c:h val="0.56257095046854166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(kum)'!$H$8:$H$19</c:f>
              <c:numCache>
                <c:formatCode>#\ ##0_ ;\-#\ ##0\ </c:formatCode>
                <c:ptCount val="12"/>
                <c:pt idx="0">
                  <c:v>5354495.79</c:v>
                </c:pt>
                <c:pt idx="1">
                  <c:v>5368943.5999999996</c:v>
                </c:pt>
                <c:pt idx="2">
                  <c:v>6604778.6299999999</c:v>
                </c:pt>
                <c:pt idx="3">
                  <c:v>6608734.0300000003</c:v>
                </c:pt>
                <c:pt idx="4">
                  <c:v>7309076.2700000005</c:v>
                </c:pt>
                <c:pt idx="5">
                  <c:v>7486133.6800000006</c:v>
                </c:pt>
                <c:pt idx="6">
                  <c:v>8791717.870000001</c:v>
                </c:pt>
                <c:pt idx="7">
                  <c:v>8798741.5000000019</c:v>
                </c:pt>
                <c:pt idx="8">
                  <c:v>14320192.270000001</c:v>
                </c:pt>
                <c:pt idx="9">
                  <c:v>20754225.23</c:v>
                </c:pt>
                <c:pt idx="10">
                  <c:v>20769780.240000002</c:v>
                </c:pt>
                <c:pt idx="11">
                  <c:v>31114272.539999999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9-42FF-8C36-A40D2068CF8F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(kum)'!$I$8:$I$19</c:f>
              <c:numCache>
                <c:formatCode>#\ ##0_ ;\-#\ ##0\ </c:formatCode>
                <c:ptCount val="12"/>
                <c:pt idx="0">
                  <c:v>1347666.6666666667</c:v>
                </c:pt>
                <c:pt idx="1">
                  <c:v>2695333.3333333335</c:v>
                </c:pt>
                <c:pt idx="2">
                  <c:v>4043000</c:v>
                </c:pt>
                <c:pt idx="3">
                  <c:v>5390666.666666667</c:v>
                </c:pt>
                <c:pt idx="4">
                  <c:v>6738333.333333334</c:v>
                </c:pt>
                <c:pt idx="5">
                  <c:v>8086000</c:v>
                </c:pt>
                <c:pt idx="6">
                  <c:v>9433666.6666666679</c:v>
                </c:pt>
                <c:pt idx="7">
                  <c:v>10781333.333333334</c:v>
                </c:pt>
                <c:pt idx="8">
                  <c:v>12129000</c:v>
                </c:pt>
                <c:pt idx="9">
                  <c:v>13476666.666666668</c:v>
                </c:pt>
                <c:pt idx="10">
                  <c:v>14824333.333333334</c:v>
                </c:pt>
                <c:pt idx="11">
                  <c:v>16172000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9-42FF-8C36-A40D2068C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08960"/>
        <c:axId val="223388224"/>
      </c:lineChart>
      <c:catAx>
        <c:axId val="2248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38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388224"/>
        <c:scaling>
          <c:orientation val="minMax"/>
          <c:max val="32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808960"/>
        <c:crosses val="autoZero"/>
        <c:crossBetween val="between"/>
        <c:majorUnit val="4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1565361445783141"/>
          <c:w val="0.79256435811020431"/>
          <c:h val="0.53789892904953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(kum)'!$K$8:$K$19</c:f>
              <c:numCache>
                <c:formatCode>#\ ##0_ ;\-#\ ##0\ </c:formatCode>
                <c:ptCount val="12"/>
                <c:pt idx="0">
                  <c:v>8038656.1600000001</c:v>
                </c:pt>
                <c:pt idx="1">
                  <c:v>9158242.9700000007</c:v>
                </c:pt>
                <c:pt idx="2">
                  <c:v>12242553.920000002</c:v>
                </c:pt>
                <c:pt idx="3">
                  <c:v>12242553.920000002</c:v>
                </c:pt>
                <c:pt idx="4">
                  <c:v>12242553.920000002</c:v>
                </c:pt>
                <c:pt idx="5">
                  <c:v>12242553.920000002</c:v>
                </c:pt>
                <c:pt idx="6">
                  <c:v>12242553.920000002</c:v>
                </c:pt>
                <c:pt idx="7">
                  <c:v>12242553.920000002</c:v>
                </c:pt>
                <c:pt idx="8">
                  <c:v>12242553.920000002</c:v>
                </c:pt>
                <c:pt idx="9">
                  <c:v>12242553.920000002</c:v>
                </c:pt>
                <c:pt idx="10">
                  <c:v>12242553.920000002</c:v>
                </c:pt>
                <c:pt idx="11">
                  <c:v>18682194.220000003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C-46FE-A198-D81324CCB9C6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(kum)'!$L$8:$L$19</c:f>
              <c:numCache>
                <c:formatCode>#\ ##0_ ;\-#\ ##0\ </c:formatCode>
                <c:ptCount val="12"/>
                <c:pt idx="0">
                  <c:v>1234250</c:v>
                </c:pt>
                <c:pt idx="1">
                  <c:v>2468500</c:v>
                </c:pt>
                <c:pt idx="2">
                  <c:v>3702750</c:v>
                </c:pt>
                <c:pt idx="3">
                  <c:v>4937000</c:v>
                </c:pt>
                <c:pt idx="4">
                  <c:v>6171250</c:v>
                </c:pt>
                <c:pt idx="5">
                  <c:v>7405500</c:v>
                </c:pt>
                <c:pt idx="6">
                  <c:v>8639750</c:v>
                </c:pt>
                <c:pt idx="7">
                  <c:v>9874000</c:v>
                </c:pt>
                <c:pt idx="8">
                  <c:v>11108250</c:v>
                </c:pt>
                <c:pt idx="9">
                  <c:v>12342500</c:v>
                </c:pt>
                <c:pt idx="10">
                  <c:v>13576750</c:v>
                </c:pt>
                <c:pt idx="11">
                  <c:v>14811000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C-46FE-A198-D81324CCB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09984"/>
        <c:axId val="223389952"/>
      </c:lineChart>
      <c:catAx>
        <c:axId val="2248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38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389952"/>
        <c:scaling>
          <c:orientation val="minMax"/>
          <c:max val="205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809984"/>
        <c:crosses val="autoZero"/>
        <c:crossBetween val="between"/>
        <c:majorUnit val="2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2013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209002677376172"/>
          <c:w val="0.78515625"/>
          <c:h val="0.53610174029451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(kum)'!$K$28:$K$39</c:f>
              <c:numCache>
                <c:formatCode>#\ ##0_ ;\-#\ ##0\ </c:formatCode>
                <c:ptCount val="12"/>
                <c:pt idx="0">
                  <c:v>626811767.23000002</c:v>
                </c:pt>
                <c:pt idx="1">
                  <c:v>1149890550.9000001</c:v>
                </c:pt>
                <c:pt idx="2">
                  <c:v>1518808636.26</c:v>
                </c:pt>
                <c:pt idx="3">
                  <c:v>1799568764.23</c:v>
                </c:pt>
                <c:pt idx="4">
                  <c:v>2165117802.6700001</c:v>
                </c:pt>
                <c:pt idx="5">
                  <c:v>2573615399.9099998</c:v>
                </c:pt>
                <c:pt idx="6">
                  <c:v>3170205847.6400003</c:v>
                </c:pt>
                <c:pt idx="7">
                  <c:v>3553345367.0799999</c:v>
                </c:pt>
                <c:pt idx="8">
                  <c:v>3877137249.6599998</c:v>
                </c:pt>
                <c:pt idx="9">
                  <c:v>4312224777.7700005</c:v>
                </c:pt>
                <c:pt idx="10">
                  <c:v>4722211023.0500011</c:v>
                </c:pt>
                <c:pt idx="11">
                  <c:v>5211054775.0200005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F-400C-87BE-EECC79C6EEED}"/>
            </c:ext>
          </c:extLst>
        </c:ser>
        <c:ser>
          <c:idx val="1"/>
          <c:order val="1"/>
          <c:tx>
            <c:v>plán</c:v>
          </c:tx>
          <c:spPr>
            <a:ln w="25400"/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(kum)'!$L$28:$L$39</c:f>
              <c:numCache>
                <c:formatCode>#\ ##0_ ;\-#\ ##0\ </c:formatCode>
                <c:ptCount val="12"/>
                <c:pt idx="0">
                  <c:v>419226333.33333331</c:v>
                </c:pt>
                <c:pt idx="1">
                  <c:v>838452666.66666663</c:v>
                </c:pt>
                <c:pt idx="2">
                  <c:v>1257679000</c:v>
                </c:pt>
                <c:pt idx="3">
                  <c:v>1676905333.3333333</c:v>
                </c:pt>
                <c:pt idx="4">
                  <c:v>2096131666.6666665</c:v>
                </c:pt>
                <c:pt idx="5">
                  <c:v>2515358000</c:v>
                </c:pt>
                <c:pt idx="6">
                  <c:v>2934584333.333333</c:v>
                </c:pt>
                <c:pt idx="7">
                  <c:v>3353810666.6666665</c:v>
                </c:pt>
                <c:pt idx="8">
                  <c:v>3773037000</c:v>
                </c:pt>
                <c:pt idx="9">
                  <c:v>4192263333.333333</c:v>
                </c:pt>
                <c:pt idx="10">
                  <c:v>4611489666.666666</c:v>
                </c:pt>
                <c:pt idx="11">
                  <c:v>5030716000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F-400C-87BE-EECC79C6E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10496"/>
        <c:axId val="223391680"/>
      </c:lineChart>
      <c:catAx>
        <c:axId val="22481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39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391680"/>
        <c:scaling>
          <c:orientation val="minMax"/>
          <c:max val="55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810496"/>
        <c:crosses val="autoZero"/>
        <c:crossBetween val="between"/>
        <c:majorUnit val="50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07"/>
          <c:y val="0.21542712842712897"/>
          <c:w val="0.80000153186567835"/>
          <c:h val="0.6033932178932186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(měs)'!$E$28:$E$39</c:f>
              <c:numCache>
                <c:formatCode>#\ ##0_ ;\-#\ ##0\ </c:formatCode>
                <c:ptCount val="12"/>
                <c:pt idx="0">
                  <c:v>117633527.95</c:v>
                </c:pt>
                <c:pt idx="1">
                  <c:v>9349568.9800000004</c:v>
                </c:pt>
                <c:pt idx="2">
                  <c:v>123732206.22</c:v>
                </c:pt>
                <c:pt idx="3">
                  <c:v>149495027.80000001</c:v>
                </c:pt>
                <c:pt idx="4">
                  <c:v>357603.93</c:v>
                </c:pt>
                <c:pt idx="5">
                  <c:v>133107858.38</c:v>
                </c:pt>
                <c:pt idx="6">
                  <c:v>351437587.52999997</c:v>
                </c:pt>
                <c:pt idx="7">
                  <c:v>0</c:v>
                </c:pt>
                <c:pt idx="8">
                  <c:v>164961538.24000001</c:v>
                </c:pt>
                <c:pt idx="9">
                  <c:v>44709534.310000002</c:v>
                </c:pt>
                <c:pt idx="10">
                  <c:v>10097767.210000001</c:v>
                </c:pt>
                <c:pt idx="11">
                  <c:v>216054611.38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D-4FB6-9CF7-5EADF23CB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399296"/>
        <c:axId val="223393984"/>
      </c:lineChart>
      <c:catAx>
        <c:axId val="2253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339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393984"/>
        <c:scaling>
          <c:orientation val="minMax"/>
          <c:max val="36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5399296"/>
        <c:crosses val="autoZero"/>
        <c:crossBetween val="between"/>
        <c:majorUnit val="40000000"/>
      </c:valAx>
    </c:plotArea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21889105339105341"/>
          <c:w val="0.800781250000002"/>
          <c:h val="0.61031421356421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(měs)'!$H$28:$H$39</c:f>
              <c:numCache>
                <c:formatCode>#\ ##0_ ;\-#\ ##0\ </c:formatCode>
                <c:ptCount val="12"/>
                <c:pt idx="0">
                  <c:v>228325123.27000001</c:v>
                </c:pt>
                <c:pt idx="1">
                  <c:v>381481708.33999997</c:v>
                </c:pt>
                <c:pt idx="2">
                  <c:v>154334166.16999999</c:v>
                </c:pt>
                <c:pt idx="3">
                  <c:v>156762353.65000001</c:v>
                </c:pt>
                <c:pt idx="4">
                  <c:v>275370058.24000001</c:v>
                </c:pt>
                <c:pt idx="5">
                  <c:v>152752420.38</c:v>
                </c:pt>
                <c:pt idx="6">
                  <c:v>156784592.06</c:v>
                </c:pt>
                <c:pt idx="7">
                  <c:v>291227516.75999999</c:v>
                </c:pt>
                <c:pt idx="8">
                  <c:v>168242530.22</c:v>
                </c:pt>
                <c:pt idx="9">
                  <c:v>170858821.41999999</c:v>
                </c:pt>
                <c:pt idx="10">
                  <c:v>325541193.52999997</c:v>
                </c:pt>
                <c:pt idx="11">
                  <c:v>205961080.28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4-41D0-BFF7-6B0F36F8E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00832"/>
        <c:axId val="223395136"/>
      </c:lineChart>
      <c:catAx>
        <c:axId val="22540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39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395136"/>
        <c:scaling>
          <c:orientation val="minMax"/>
          <c:max val="490000000.00000006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5400832"/>
        <c:crosses val="autoZero"/>
        <c:crossBetween val="between"/>
        <c:majorUnit val="70000000"/>
        <c:minorUnit val="1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1"/>
          <c:y val="0.20553045515394924"/>
          <c:w val="0.8086643835616435"/>
          <c:h val="0.61555321285140563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(měs)'!$B$8:$B$19</c:f>
              <c:numCache>
                <c:formatCode>#\ ##0_ ;\-#\ ##0\ </c:formatCode>
                <c:ptCount val="12"/>
                <c:pt idx="0">
                  <c:v>119624935.58000001</c:v>
                </c:pt>
                <c:pt idx="1">
                  <c:v>103872527.78</c:v>
                </c:pt>
                <c:pt idx="2">
                  <c:v>85269154.49000001</c:v>
                </c:pt>
                <c:pt idx="3">
                  <c:v>77783865.260000005</c:v>
                </c:pt>
                <c:pt idx="4">
                  <c:v>82217944.400000006</c:v>
                </c:pt>
                <c:pt idx="5">
                  <c:v>90127013.390000001</c:v>
                </c:pt>
                <c:pt idx="6">
                  <c:v>111649397.98</c:v>
                </c:pt>
                <c:pt idx="7">
                  <c:v>105431827.58000001</c:v>
                </c:pt>
                <c:pt idx="8">
                  <c:v>91659175.659999996</c:v>
                </c:pt>
                <c:pt idx="9">
                  <c:v>100032315.39</c:v>
                </c:pt>
                <c:pt idx="10">
                  <c:v>90297291.129999995</c:v>
                </c:pt>
                <c:pt idx="11">
                  <c:v>117735997.10000001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0-47C3-8085-0457EE289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15744"/>
        <c:axId val="225469568"/>
      </c:lineChart>
      <c:catAx>
        <c:axId val="22441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46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469568"/>
        <c:scaling>
          <c:orientation val="minMax"/>
          <c:max val="18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415744"/>
        <c:crosses val="autoZero"/>
        <c:crossBetween val="between"/>
        <c:majorUnit val="2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1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20626406926406926"/>
          <c:w val="0.81108523592085235"/>
          <c:h val="0.6263008658008655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(měs)'!$E$8:$E$19</c:f>
              <c:numCache>
                <c:formatCode>#\ ##0_ ;\-#\ ##0\ </c:formatCode>
                <c:ptCount val="12"/>
                <c:pt idx="0">
                  <c:v>8331988.0699999994</c:v>
                </c:pt>
                <c:pt idx="1">
                  <c:v>7234818.1699999999</c:v>
                </c:pt>
                <c:pt idx="2">
                  <c:v>5939075.8799999999</c:v>
                </c:pt>
                <c:pt idx="3">
                  <c:v>5417718.5800000001</c:v>
                </c:pt>
                <c:pt idx="4">
                  <c:v>6214112.8199999994</c:v>
                </c:pt>
                <c:pt idx="5">
                  <c:v>6764986.8100000005</c:v>
                </c:pt>
                <c:pt idx="6">
                  <c:v>7776484.4199999999</c:v>
                </c:pt>
                <c:pt idx="7">
                  <c:v>7343424.8499999996</c:v>
                </c:pt>
                <c:pt idx="8">
                  <c:v>6274555.2999999998</c:v>
                </c:pt>
                <c:pt idx="9">
                  <c:v>6954168.6699999999</c:v>
                </c:pt>
                <c:pt idx="10">
                  <c:v>6833551.0899999999</c:v>
                </c:pt>
                <c:pt idx="11">
                  <c:v>8253172.5599999996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1-4869-A202-1030ABD6B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16768"/>
        <c:axId val="225471296"/>
      </c:lineChart>
      <c:catAx>
        <c:axId val="22441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547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471296"/>
        <c:scaling>
          <c:orientation val="minMax"/>
          <c:max val="12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4416768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095" footer="0.49212598450000095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1"/>
          <c:y val="0.24001948051948138"/>
          <c:w val="0.78669351101309615"/>
          <c:h val="0.5897745310245309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(měs)'!$B$28:$B$39</c:f>
              <c:numCache>
                <c:formatCode>#\ ##0_ ;\-#\ ##0\ </c:formatCode>
                <c:ptCount val="12"/>
                <c:pt idx="0">
                  <c:v>10092454.800000001</c:v>
                </c:pt>
                <c:pt idx="1">
                  <c:v>20143474.199999999</c:v>
                </c:pt>
                <c:pt idx="2">
                  <c:v>7497898.9699999997</c:v>
                </c:pt>
                <c:pt idx="3">
                  <c:v>8985042.4199999999</c:v>
                </c:pt>
                <c:pt idx="4">
                  <c:v>9823015.4000000004</c:v>
                </c:pt>
                <c:pt idx="5">
                  <c:v>10385408.899999999</c:v>
                </c:pt>
                <c:pt idx="6">
                  <c:v>13211806.08</c:v>
                </c:pt>
                <c:pt idx="7">
                  <c:v>13400455.530000001</c:v>
                </c:pt>
                <c:pt idx="8">
                  <c:v>13492471.399999999</c:v>
                </c:pt>
                <c:pt idx="9">
                  <c:v>11807297.83</c:v>
                </c:pt>
                <c:pt idx="10">
                  <c:v>9667206.5899999999</c:v>
                </c:pt>
                <c:pt idx="11">
                  <c:v>9984334.5899999999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6-47E4-8F70-D0882F79F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17280"/>
        <c:axId val="225473024"/>
      </c:lineChart>
      <c:catAx>
        <c:axId val="2244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473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473024"/>
        <c:scaling>
          <c:orientation val="minMax"/>
          <c:max val="24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417280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Sdílené daně města celkem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'Vývoj2015-24'!$A$14:$A$15</c:f>
              <c:strCache>
                <c:ptCount val="1"/>
                <c:pt idx="0">
                  <c:v>Sdílené daně města celkem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'Vývoj2015-24'!$R$3:$AA$3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'Vývoj2015-24'!$R$14:$AA$14</c:f>
              <c:numCache>
                <c:formatCode>#,##0</c:formatCode>
                <c:ptCount val="10"/>
                <c:pt idx="0">
                  <c:v>5558720394.0100002</c:v>
                </c:pt>
                <c:pt idx="1">
                  <c:v>6031790868.29</c:v>
                </c:pt>
                <c:pt idx="2">
                  <c:v>6603908970.8600006</c:v>
                </c:pt>
                <c:pt idx="3">
                  <c:v>7259909173.1899996</c:v>
                </c:pt>
                <c:pt idx="4">
                  <c:v>7846036640.2800007</c:v>
                </c:pt>
                <c:pt idx="5">
                  <c:v>7295949432.6299992</c:v>
                </c:pt>
                <c:pt idx="6">
                  <c:v>8071844116.8699989</c:v>
                </c:pt>
                <c:pt idx="7">
                  <c:v>9293175115</c:v>
                </c:pt>
                <c:pt idx="8">
                  <c:v>10576396041.130001</c:v>
                </c:pt>
                <c:pt idx="9">
                  <c:v>10383194147.700001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2-42FA-9DB5-27B7C942A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055296"/>
        <c:axId val="213727424"/>
      </c:lineChart>
      <c:catAx>
        <c:axId val="21605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727424"/>
        <c:crosses val="autoZero"/>
        <c:auto val="1"/>
        <c:lblAlgn val="ctr"/>
        <c:lblOffset val="100"/>
        <c:noMultiLvlLbl val="0"/>
      </c:catAx>
      <c:valAx>
        <c:axId val="213727424"/>
        <c:scaling>
          <c:orientation val="minMax"/>
          <c:max val="11300000000"/>
          <c:min val="50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055296"/>
        <c:crosses val="autoZero"/>
        <c:crossBetween val="between"/>
        <c:majorUnit val="9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  <c:userShapes r:id="rId3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23590930388219622"/>
          <c:w val="0.8294133528901515"/>
          <c:h val="0.592323293172690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(měs)'!$H$8:$H$19</c:f>
              <c:numCache>
                <c:formatCode>#\ ##0_ ;\-#\ ##0\ </c:formatCode>
                <c:ptCount val="12"/>
                <c:pt idx="0">
                  <c:v>3561118.95</c:v>
                </c:pt>
                <c:pt idx="1">
                  <c:v>55.37</c:v>
                </c:pt>
                <c:pt idx="2">
                  <c:v>5796431.8700000001</c:v>
                </c:pt>
                <c:pt idx="3">
                  <c:v>0</c:v>
                </c:pt>
                <c:pt idx="4">
                  <c:v>1005</c:v>
                </c:pt>
                <c:pt idx="5">
                  <c:v>47992.7</c:v>
                </c:pt>
                <c:pt idx="6">
                  <c:v>72837.600000000006</c:v>
                </c:pt>
                <c:pt idx="7">
                  <c:v>13756322.58</c:v>
                </c:pt>
                <c:pt idx="8">
                  <c:v>10492763.68</c:v>
                </c:pt>
                <c:pt idx="9">
                  <c:v>3774279.08</c:v>
                </c:pt>
                <c:pt idx="10">
                  <c:v>1130</c:v>
                </c:pt>
                <c:pt idx="11">
                  <c:v>28948.309999999998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9-4A03-858C-4CA8574FD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18304"/>
        <c:axId val="225474752"/>
      </c:lineChart>
      <c:catAx>
        <c:axId val="2244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47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474752"/>
        <c:scaling>
          <c:orientation val="minMax"/>
          <c:max val="16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418304"/>
        <c:crosses val="autoZero"/>
        <c:crossBetween val="between"/>
        <c:majorUnit val="20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539065656565665"/>
          <c:w val="0.79256435811020431"/>
          <c:h val="0.5761518759018775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(měs)'!$K$8:$K$19</c:f>
              <c:numCache>
                <c:formatCode>#\ ##0_ ;\-#\ ##0\ </c:formatCode>
                <c:ptCount val="12"/>
                <c:pt idx="0">
                  <c:v>4613274.3899999997</c:v>
                </c:pt>
                <c:pt idx="1">
                  <c:v>1339611.24</c:v>
                </c:pt>
                <c:pt idx="2">
                  <c:v>2448336.59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2396726.27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2-4442-B833-D1372C722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19328"/>
        <c:axId val="225542144"/>
      </c:lineChart>
      <c:catAx>
        <c:axId val="22441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54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542144"/>
        <c:scaling>
          <c:orientation val="minMax"/>
          <c:max val="105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419328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2014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3790160642570291"/>
          <c:w val="0.78515625"/>
          <c:h val="0.59560642570280997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(měs)'!$K$28:$K$39</c:f>
              <c:numCache>
                <c:formatCode>#\ ##0_ ;\-#\ ##0\ </c:formatCode>
                <c:ptCount val="12"/>
                <c:pt idx="0">
                  <c:v>492182423.00999999</c:v>
                </c:pt>
                <c:pt idx="1">
                  <c:v>523421764.07999998</c:v>
                </c:pt>
                <c:pt idx="2">
                  <c:v>385017270.19</c:v>
                </c:pt>
                <c:pt idx="3">
                  <c:v>398444007.71000004</c:v>
                </c:pt>
                <c:pt idx="4">
                  <c:v>373983739.79000002</c:v>
                </c:pt>
                <c:pt idx="5">
                  <c:v>393185680.56</c:v>
                </c:pt>
                <c:pt idx="6">
                  <c:v>640932705.66999996</c:v>
                </c:pt>
                <c:pt idx="7">
                  <c:v>431159547.30000001</c:v>
                </c:pt>
                <c:pt idx="8">
                  <c:v>455123034.5</c:v>
                </c:pt>
                <c:pt idx="9">
                  <c:v>340533142.97000003</c:v>
                </c:pt>
                <c:pt idx="10">
                  <c:v>442438139.54999995</c:v>
                </c:pt>
                <c:pt idx="11">
                  <c:v>558018144.22000003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1-4886-8193-FFDD1EA0B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32768"/>
        <c:axId val="225543872"/>
      </c:lineChart>
      <c:catAx>
        <c:axId val="22563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543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543872"/>
        <c:scaling>
          <c:orientation val="minMax"/>
          <c:max val="72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5632768"/>
        <c:crosses val="autoZero"/>
        <c:crossBetween val="between"/>
        <c:majorUnit val="8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07"/>
          <c:y val="0.19821849593495941"/>
          <c:w val="0.80000153186567835"/>
          <c:h val="0.53886077235772367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(kum)'!$E$28:$E$39</c:f>
              <c:numCache>
                <c:formatCode>#\ ##0_ ;\-#\ ##0\ </c:formatCode>
                <c:ptCount val="12"/>
                <c:pt idx="0">
                  <c:v>117633527.95</c:v>
                </c:pt>
                <c:pt idx="1">
                  <c:v>126983096.93000001</c:v>
                </c:pt>
                <c:pt idx="2">
                  <c:v>250715303.15000001</c:v>
                </c:pt>
                <c:pt idx="3">
                  <c:v>400210330.95000005</c:v>
                </c:pt>
                <c:pt idx="4">
                  <c:v>400567934.88000005</c:v>
                </c:pt>
                <c:pt idx="5">
                  <c:v>533675793.26000005</c:v>
                </c:pt>
                <c:pt idx="6">
                  <c:v>885113380.78999996</c:v>
                </c:pt>
                <c:pt idx="7">
                  <c:v>885113380.78999996</c:v>
                </c:pt>
                <c:pt idx="8">
                  <c:v>1050074919.03</c:v>
                </c:pt>
                <c:pt idx="9">
                  <c:v>1094784453.3399999</c:v>
                </c:pt>
                <c:pt idx="10">
                  <c:v>1104882220.55</c:v>
                </c:pt>
                <c:pt idx="11">
                  <c:v>1320936831.9299998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5-4952-AA35-67F2BBF2A7B4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(kum)'!$F$28:$F$39</c:f>
              <c:numCache>
                <c:formatCode>#\ ##0_ ;\-#\ ##0\ </c:formatCode>
                <c:ptCount val="12"/>
                <c:pt idx="0">
                  <c:v>99137500</c:v>
                </c:pt>
                <c:pt idx="1">
                  <c:v>198275000</c:v>
                </c:pt>
                <c:pt idx="2">
                  <c:v>297412500</c:v>
                </c:pt>
                <c:pt idx="3">
                  <c:v>396550000</c:v>
                </c:pt>
                <c:pt idx="4">
                  <c:v>495687500</c:v>
                </c:pt>
                <c:pt idx="5">
                  <c:v>594825000</c:v>
                </c:pt>
                <c:pt idx="6">
                  <c:v>693962500</c:v>
                </c:pt>
                <c:pt idx="7">
                  <c:v>793100000</c:v>
                </c:pt>
                <c:pt idx="8">
                  <c:v>892237500</c:v>
                </c:pt>
                <c:pt idx="9">
                  <c:v>991375000</c:v>
                </c:pt>
                <c:pt idx="10">
                  <c:v>1090512500</c:v>
                </c:pt>
                <c:pt idx="11">
                  <c:v>1189650000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5-4952-AA35-67F2BBF2A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181696"/>
        <c:axId val="225546176"/>
      </c:lineChart>
      <c:catAx>
        <c:axId val="2251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5546176"/>
        <c:crosses val="autoZero"/>
        <c:auto val="1"/>
        <c:lblAlgn val="ctr"/>
        <c:lblOffset val="100"/>
        <c:noMultiLvlLbl val="0"/>
      </c:catAx>
      <c:valAx>
        <c:axId val="225546176"/>
        <c:scaling>
          <c:orientation val="minMax"/>
          <c:max val="135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5181696"/>
        <c:crosses val="autoZero"/>
        <c:crossBetween val="between"/>
        <c:majorUnit val="150000000"/>
      </c:valAx>
    </c:plotArea>
    <c:legend>
      <c:legendPos val="b"/>
      <c:overlay val="0"/>
      <c:txPr>
        <a:bodyPr/>
        <a:lstStyle/>
        <a:p>
          <a:pPr>
            <a:defRPr b="1" i="0" baseline="0"/>
          </a:pPr>
          <a:endParaRPr lang="cs-CZ"/>
        </a:p>
      </c:txPr>
    </c:legend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19338888888888889"/>
          <c:w val="0.800781250000002"/>
          <c:h val="0.55505990629183488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(kum)'!$H$28:$H$39</c:f>
              <c:numCache>
                <c:formatCode>#\ ##0_ ;\-#\ ##0\ </c:formatCode>
                <c:ptCount val="12"/>
                <c:pt idx="0">
                  <c:v>228325123.27000001</c:v>
                </c:pt>
                <c:pt idx="1">
                  <c:v>609806831.61000001</c:v>
                </c:pt>
                <c:pt idx="2">
                  <c:v>764140997.77999997</c:v>
                </c:pt>
                <c:pt idx="3">
                  <c:v>920903351.42999995</c:v>
                </c:pt>
                <c:pt idx="4">
                  <c:v>1196273409.6700001</c:v>
                </c:pt>
                <c:pt idx="5">
                  <c:v>1349025830.0500002</c:v>
                </c:pt>
                <c:pt idx="6">
                  <c:v>1505810422.1100001</c:v>
                </c:pt>
                <c:pt idx="7">
                  <c:v>1797037938.8700001</c:v>
                </c:pt>
                <c:pt idx="8">
                  <c:v>1965280469.0900002</c:v>
                </c:pt>
                <c:pt idx="9">
                  <c:v>2136139290.5100002</c:v>
                </c:pt>
                <c:pt idx="10">
                  <c:v>2461680484.04</c:v>
                </c:pt>
                <c:pt idx="11">
                  <c:v>2667641564.3200002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1-4746-9DBF-981BC9F26E04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(kum)'!$I$28:$I$39</c:f>
              <c:numCache>
                <c:formatCode>#\ ##0_ ;\-#\ ##0\ </c:formatCode>
                <c:ptCount val="12"/>
                <c:pt idx="0">
                  <c:v>211514416.66666666</c:v>
                </c:pt>
                <c:pt idx="1">
                  <c:v>423028833.33333331</c:v>
                </c:pt>
                <c:pt idx="2">
                  <c:v>634543250</c:v>
                </c:pt>
                <c:pt idx="3">
                  <c:v>846057666.66666663</c:v>
                </c:pt>
                <c:pt idx="4">
                  <c:v>1057572083.3333333</c:v>
                </c:pt>
                <c:pt idx="5">
                  <c:v>1269086500</c:v>
                </c:pt>
                <c:pt idx="6">
                  <c:v>1480600916.6666665</c:v>
                </c:pt>
                <c:pt idx="7">
                  <c:v>1692115333.3333333</c:v>
                </c:pt>
                <c:pt idx="8">
                  <c:v>1903629750</c:v>
                </c:pt>
                <c:pt idx="9">
                  <c:v>2115144166.6666665</c:v>
                </c:pt>
                <c:pt idx="10">
                  <c:v>2326658583.333333</c:v>
                </c:pt>
                <c:pt idx="11">
                  <c:v>2538173000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1-4746-9DBF-981BC9F26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35328"/>
        <c:axId val="225547328"/>
      </c:lineChart>
      <c:catAx>
        <c:axId val="22563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/>
            </a:pPr>
            <a:endParaRPr lang="cs-CZ"/>
          </a:p>
        </c:txPr>
        <c:crossAx val="225547328"/>
        <c:crosses val="autoZero"/>
        <c:auto val="1"/>
        <c:lblAlgn val="ctr"/>
        <c:lblOffset val="100"/>
        <c:noMultiLvlLbl val="0"/>
      </c:catAx>
      <c:valAx>
        <c:axId val="225547328"/>
        <c:scaling>
          <c:orientation val="minMax"/>
          <c:max val="27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5635328"/>
        <c:crosses val="autoZero"/>
        <c:crossBetween val="between"/>
        <c:majorUnit val="300000000"/>
        <c:min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1"/>
          <c:y val="0.18427878179384224"/>
          <c:w val="0.8086643835616435"/>
          <c:h val="0.5475478580990628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(kum)'!$B$8:$B$19</c:f>
              <c:numCache>
                <c:formatCode>#\ ##0_ ;\-#\ ##0\ </c:formatCode>
                <c:ptCount val="12"/>
                <c:pt idx="0">
                  <c:v>119624935.58000001</c:v>
                </c:pt>
                <c:pt idx="1">
                  <c:v>223497463.36000001</c:v>
                </c:pt>
                <c:pt idx="2">
                  <c:v>308766617.85000002</c:v>
                </c:pt>
                <c:pt idx="3">
                  <c:v>386550483.11000001</c:v>
                </c:pt>
                <c:pt idx="4">
                  <c:v>468768427.50999999</c:v>
                </c:pt>
                <c:pt idx="5">
                  <c:v>558895440.89999998</c:v>
                </c:pt>
                <c:pt idx="6">
                  <c:v>670544838.88</c:v>
                </c:pt>
                <c:pt idx="7">
                  <c:v>775976666.46000004</c:v>
                </c:pt>
                <c:pt idx="8">
                  <c:v>867635842.12</c:v>
                </c:pt>
                <c:pt idx="9">
                  <c:v>967668157.50999999</c:v>
                </c:pt>
                <c:pt idx="10">
                  <c:v>1057965448.64</c:v>
                </c:pt>
                <c:pt idx="11">
                  <c:v>1175701445.74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5-4B03-95AB-70C6418F7622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(kum)'!$C$8:$C$19</c:f>
              <c:numCache>
                <c:formatCode>#\ ##0_ ;\-#\ ##0\ </c:formatCode>
                <c:ptCount val="12"/>
                <c:pt idx="0">
                  <c:v>96436083.333333328</c:v>
                </c:pt>
                <c:pt idx="1">
                  <c:v>192872166.66666666</c:v>
                </c:pt>
                <c:pt idx="2">
                  <c:v>289308250</c:v>
                </c:pt>
                <c:pt idx="3">
                  <c:v>385744333.33333331</c:v>
                </c:pt>
                <c:pt idx="4">
                  <c:v>482180416.66666663</c:v>
                </c:pt>
                <c:pt idx="5">
                  <c:v>578616500</c:v>
                </c:pt>
                <c:pt idx="6">
                  <c:v>675052583.33333325</c:v>
                </c:pt>
                <c:pt idx="7">
                  <c:v>771488666.66666663</c:v>
                </c:pt>
                <c:pt idx="8">
                  <c:v>867924750</c:v>
                </c:pt>
                <c:pt idx="9">
                  <c:v>964360833.33333325</c:v>
                </c:pt>
                <c:pt idx="10">
                  <c:v>1060796916.6666666</c:v>
                </c:pt>
                <c:pt idx="11">
                  <c:v>1157233000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5-4B03-95AB-70C6418F7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183232"/>
        <c:axId val="225549056"/>
      </c:lineChart>
      <c:catAx>
        <c:axId val="2251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60000" vert="horz"/>
          <a:lstStyle/>
          <a:p>
            <a:pPr>
              <a:defRPr/>
            </a:pPr>
            <a:endParaRPr lang="cs-CZ"/>
          </a:p>
        </c:txPr>
        <c:crossAx val="225549056"/>
        <c:crosses val="autoZero"/>
        <c:auto val="1"/>
        <c:lblAlgn val="ctr"/>
        <c:lblOffset val="100"/>
        <c:noMultiLvlLbl val="0"/>
      </c:catAx>
      <c:valAx>
        <c:axId val="225549056"/>
        <c:scaling>
          <c:orientation val="minMax"/>
          <c:max val="12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5183232"/>
        <c:crosses val="autoZero"/>
        <c:crossBetween val="between"/>
        <c:majorUnit val="15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1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19776338688085704"/>
          <c:w val="0.81108523592085235"/>
          <c:h val="0.55829551539491362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(kum)'!$E$8:$E$19</c:f>
              <c:numCache>
                <c:formatCode>#\ ##0_ ;\-#\ ##0\ </c:formatCode>
                <c:ptCount val="12"/>
                <c:pt idx="0">
                  <c:v>8331988.0699999994</c:v>
                </c:pt>
                <c:pt idx="1">
                  <c:v>15566806.239999998</c:v>
                </c:pt>
                <c:pt idx="2">
                  <c:v>21505882.119999997</c:v>
                </c:pt>
                <c:pt idx="3">
                  <c:v>26923600.699999996</c:v>
                </c:pt>
                <c:pt idx="4">
                  <c:v>33137713.519999996</c:v>
                </c:pt>
                <c:pt idx="5">
                  <c:v>39902700.329999998</c:v>
                </c:pt>
                <c:pt idx="6">
                  <c:v>47679184.75</c:v>
                </c:pt>
                <c:pt idx="7">
                  <c:v>55022609.600000001</c:v>
                </c:pt>
                <c:pt idx="8">
                  <c:v>61297164.899999999</c:v>
                </c:pt>
                <c:pt idx="9">
                  <c:v>68251333.569999993</c:v>
                </c:pt>
                <c:pt idx="10">
                  <c:v>75084884.659999996</c:v>
                </c:pt>
                <c:pt idx="11">
                  <c:v>83338057.219999999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D-456E-B0B7-A7B2C3CA88FF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(kum)'!$F$8:$F$19</c:f>
              <c:numCache>
                <c:formatCode>#\ ##0_ ;\-#\ ##0\ </c:formatCode>
                <c:ptCount val="12"/>
                <c:pt idx="0">
                  <c:v>6797083.333333333</c:v>
                </c:pt>
                <c:pt idx="1">
                  <c:v>13594166.666666666</c:v>
                </c:pt>
                <c:pt idx="2">
                  <c:v>20391250</c:v>
                </c:pt>
                <c:pt idx="3">
                  <c:v>27188333.333333332</c:v>
                </c:pt>
                <c:pt idx="4">
                  <c:v>33985416.666666664</c:v>
                </c:pt>
                <c:pt idx="5">
                  <c:v>40782500</c:v>
                </c:pt>
                <c:pt idx="6">
                  <c:v>47579583.333333328</c:v>
                </c:pt>
                <c:pt idx="7">
                  <c:v>54376666.666666664</c:v>
                </c:pt>
                <c:pt idx="8">
                  <c:v>61173750</c:v>
                </c:pt>
                <c:pt idx="9">
                  <c:v>67970833.333333328</c:v>
                </c:pt>
                <c:pt idx="10">
                  <c:v>74767916.666666657</c:v>
                </c:pt>
                <c:pt idx="11">
                  <c:v>81565000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D-456E-B0B7-A7B2C3CA8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6048"/>
        <c:axId val="225124928"/>
      </c:lineChart>
      <c:catAx>
        <c:axId val="22502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512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124928"/>
        <c:scaling>
          <c:orientation val="minMax"/>
          <c:max val="9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5026048"/>
        <c:crosses val="autoZero"/>
        <c:crossBetween val="between"/>
        <c:maj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095" footer="0.49212598450000095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1"/>
          <c:y val="0.19751606425702836"/>
          <c:w val="0.78669351101309615"/>
          <c:h val="0.5472710843373495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(kum)'!$B$28:$B$39</c:f>
              <c:numCache>
                <c:formatCode>#\ ##0_ ;\-#\ ##0\ </c:formatCode>
                <c:ptCount val="12"/>
                <c:pt idx="0">
                  <c:v>10092454.800000001</c:v>
                </c:pt>
                <c:pt idx="1">
                  <c:v>30235929</c:v>
                </c:pt>
                <c:pt idx="2">
                  <c:v>37733827.969999999</c:v>
                </c:pt>
                <c:pt idx="3">
                  <c:v>46718870.390000001</c:v>
                </c:pt>
                <c:pt idx="4">
                  <c:v>56541885.789999999</c:v>
                </c:pt>
                <c:pt idx="5">
                  <c:v>66927294.689999998</c:v>
                </c:pt>
                <c:pt idx="6">
                  <c:v>80139100.769999996</c:v>
                </c:pt>
                <c:pt idx="7">
                  <c:v>93539556.299999997</c:v>
                </c:pt>
                <c:pt idx="8">
                  <c:v>107032027.69999999</c:v>
                </c:pt>
                <c:pt idx="9">
                  <c:v>118839325.52999999</c:v>
                </c:pt>
                <c:pt idx="10">
                  <c:v>128506532.11999999</c:v>
                </c:pt>
                <c:pt idx="11">
                  <c:v>138490866.70999998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1-4453-B9B1-91EDE09DE1BD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(kum)'!$C$28:$C$39</c:f>
              <c:numCache>
                <c:formatCode>#\ ##0_ ;\-#\ ##0\ </c:formatCode>
                <c:ptCount val="12"/>
                <c:pt idx="0">
                  <c:v>10597750</c:v>
                </c:pt>
                <c:pt idx="1">
                  <c:v>21195500</c:v>
                </c:pt>
                <c:pt idx="2">
                  <c:v>31793250</c:v>
                </c:pt>
                <c:pt idx="3">
                  <c:v>42391000</c:v>
                </c:pt>
                <c:pt idx="4">
                  <c:v>52988750</c:v>
                </c:pt>
                <c:pt idx="5">
                  <c:v>63586500</c:v>
                </c:pt>
                <c:pt idx="6">
                  <c:v>74184250</c:v>
                </c:pt>
                <c:pt idx="7">
                  <c:v>84782000</c:v>
                </c:pt>
                <c:pt idx="8">
                  <c:v>95379750</c:v>
                </c:pt>
                <c:pt idx="9">
                  <c:v>105977500</c:v>
                </c:pt>
                <c:pt idx="10">
                  <c:v>116575250</c:v>
                </c:pt>
                <c:pt idx="11">
                  <c:v>127173000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1-4453-B9B1-91EDE09DE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7584"/>
        <c:axId val="225126656"/>
      </c:lineChart>
      <c:catAx>
        <c:axId val="2250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12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126656"/>
        <c:scaling>
          <c:orientation val="minMax"/>
          <c:max val="14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5027584"/>
        <c:crosses val="autoZero"/>
        <c:crossBetween val="between"/>
        <c:majorUnit val="2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18915562248995985"/>
          <c:w val="0.8294133528901515"/>
          <c:h val="0.56257095046854166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(kum)'!$H$8:$H$19</c:f>
              <c:numCache>
                <c:formatCode>#\ ##0_ ;\-#\ ##0\ </c:formatCode>
                <c:ptCount val="12"/>
                <c:pt idx="0">
                  <c:v>3561118.95</c:v>
                </c:pt>
                <c:pt idx="1">
                  <c:v>3561174.3200000003</c:v>
                </c:pt>
                <c:pt idx="2">
                  <c:v>9357606.1900000013</c:v>
                </c:pt>
                <c:pt idx="3">
                  <c:v>9357606.1900000013</c:v>
                </c:pt>
                <c:pt idx="4">
                  <c:v>9358611.1900000013</c:v>
                </c:pt>
                <c:pt idx="5">
                  <c:v>9406603.8900000006</c:v>
                </c:pt>
                <c:pt idx="6">
                  <c:v>9479441.4900000002</c:v>
                </c:pt>
                <c:pt idx="7">
                  <c:v>23235764.07</c:v>
                </c:pt>
                <c:pt idx="8">
                  <c:v>33728527.75</c:v>
                </c:pt>
                <c:pt idx="9">
                  <c:v>37502806.829999998</c:v>
                </c:pt>
                <c:pt idx="10">
                  <c:v>37503936.829999998</c:v>
                </c:pt>
                <c:pt idx="11">
                  <c:v>37532885.140000001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D-45E7-ABAB-52971C39C19B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(kum)'!$I$8:$I$19</c:f>
              <c:numCache>
                <c:formatCode>#\ ##0_ ;\-#\ ##0\ </c:formatCode>
                <c:ptCount val="12"/>
                <c:pt idx="0">
                  <c:v>1545333.3333333333</c:v>
                </c:pt>
                <c:pt idx="1">
                  <c:v>3090666.6666666665</c:v>
                </c:pt>
                <c:pt idx="2">
                  <c:v>4636000</c:v>
                </c:pt>
                <c:pt idx="3">
                  <c:v>6181333.333333333</c:v>
                </c:pt>
                <c:pt idx="4">
                  <c:v>7726666.666666666</c:v>
                </c:pt>
                <c:pt idx="5">
                  <c:v>9272000</c:v>
                </c:pt>
                <c:pt idx="6">
                  <c:v>10817333.333333332</c:v>
                </c:pt>
                <c:pt idx="7">
                  <c:v>12362666.666666666</c:v>
                </c:pt>
                <c:pt idx="8">
                  <c:v>13908000</c:v>
                </c:pt>
                <c:pt idx="9">
                  <c:v>15453333.333333332</c:v>
                </c:pt>
                <c:pt idx="10">
                  <c:v>16998666.666666664</c:v>
                </c:pt>
                <c:pt idx="11">
                  <c:v>18544000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D-45E7-ABAB-52971C39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8608"/>
        <c:axId val="225128384"/>
      </c:lineChart>
      <c:catAx>
        <c:axId val="22502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128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128384"/>
        <c:scaling>
          <c:orientation val="minMax"/>
          <c:max val="54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5028608"/>
        <c:crosses val="autoZero"/>
        <c:crossBetween val="between"/>
        <c:majorUnit val="6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1565361445783141"/>
          <c:w val="0.79256435811020431"/>
          <c:h val="0.53789892904953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(kum)'!$K$8:$K$19</c:f>
              <c:numCache>
                <c:formatCode>#\ ##0_ ;\-#\ ##0\ </c:formatCode>
                <c:ptCount val="12"/>
                <c:pt idx="0">
                  <c:v>4613274.3899999997</c:v>
                </c:pt>
                <c:pt idx="1">
                  <c:v>5952885.6299999999</c:v>
                </c:pt>
                <c:pt idx="2">
                  <c:v>8401222.2199999988</c:v>
                </c:pt>
                <c:pt idx="3">
                  <c:v>8401222.2199999988</c:v>
                </c:pt>
                <c:pt idx="4">
                  <c:v>8401222.2199999988</c:v>
                </c:pt>
                <c:pt idx="5">
                  <c:v>8401222.2199999988</c:v>
                </c:pt>
                <c:pt idx="6">
                  <c:v>8401222.2199999988</c:v>
                </c:pt>
                <c:pt idx="7">
                  <c:v>8401222.2199999988</c:v>
                </c:pt>
                <c:pt idx="8">
                  <c:v>8401222.2199999988</c:v>
                </c:pt>
                <c:pt idx="9">
                  <c:v>10797948.489999998</c:v>
                </c:pt>
                <c:pt idx="10">
                  <c:v>10797948.489999998</c:v>
                </c:pt>
                <c:pt idx="11">
                  <c:v>10797948.489999998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1-4196-8892-A732D5EC99D3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(kum)'!$L$8:$L$19</c:f>
              <c:numCache>
                <c:formatCode>#\ ##0_ ;\-#\ ##0\ </c:formatCode>
                <c:ptCount val="12"/>
                <c:pt idx="0">
                  <c:v>927916.66666666663</c:v>
                </c:pt>
                <c:pt idx="1">
                  <c:v>1855833.3333333333</c:v>
                </c:pt>
                <c:pt idx="2">
                  <c:v>2783750</c:v>
                </c:pt>
                <c:pt idx="3">
                  <c:v>3711666.6666666665</c:v>
                </c:pt>
                <c:pt idx="4">
                  <c:v>4639583.333333333</c:v>
                </c:pt>
                <c:pt idx="5">
                  <c:v>5567500</c:v>
                </c:pt>
                <c:pt idx="6">
                  <c:v>6495416.666666666</c:v>
                </c:pt>
                <c:pt idx="7">
                  <c:v>7423333.333333333</c:v>
                </c:pt>
                <c:pt idx="8">
                  <c:v>8351250</c:v>
                </c:pt>
                <c:pt idx="9">
                  <c:v>9279166.666666666</c:v>
                </c:pt>
                <c:pt idx="10">
                  <c:v>10207083.333333332</c:v>
                </c:pt>
                <c:pt idx="11">
                  <c:v>11135000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1-4196-8892-A732D5EC9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9632"/>
        <c:axId val="225130112"/>
      </c:lineChart>
      <c:catAx>
        <c:axId val="22502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13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130112"/>
        <c:scaling>
          <c:orientation val="minMax"/>
          <c:max val="135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5029632"/>
        <c:crosses val="autoZero"/>
        <c:crossBetween val="between"/>
        <c:majorUnit val="15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  <a:latin typeface="+mn-lt"/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'Vývoj2015-24'!$A$4:$A$5</c:f>
              <c:strCache>
                <c:ptCount val="1"/>
                <c:pt idx="0">
                  <c:v>Daň z příjmů FO placená plátci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'Vývoj2015-24'!$R$3:$AA$3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'Vývoj2015-24'!$R$4:$AA$4</c:f>
              <c:numCache>
                <c:formatCode>#,##0</c:formatCode>
                <c:ptCount val="10"/>
                <c:pt idx="0">
                  <c:v>1278457951.02</c:v>
                </c:pt>
                <c:pt idx="1">
                  <c:v>1459301625.48</c:v>
                </c:pt>
                <c:pt idx="2">
                  <c:v>1655725892.6099999</c:v>
                </c:pt>
                <c:pt idx="3">
                  <c:v>1854607936.8499999</c:v>
                </c:pt>
                <c:pt idx="4">
                  <c:v>2065137597.8</c:v>
                </c:pt>
                <c:pt idx="5">
                  <c:v>1937400280.73</c:v>
                </c:pt>
                <c:pt idx="6">
                  <c:v>1422429822.3699999</c:v>
                </c:pt>
                <c:pt idx="7">
                  <c:v>1520338176.4499998</c:v>
                </c:pt>
                <c:pt idx="8">
                  <c:v>1758333192.1700001</c:v>
                </c:pt>
                <c:pt idx="9">
                  <c:v>1925227758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0-4100-8F4C-6077F3EAC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11392"/>
        <c:axId val="213482816"/>
      </c:lineChart>
      <c:catAx>
        <c:axId val="21401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482816"/>
        <c:crosses val="autoZero"/>
        <c:auto val="1"/>
        <c:lblAlgn val="ctr"/>
        <c:lblOffset val="100"/>
        <c:noMultiLvlLbl val="0"/>
      </c:catAx>
      <c:valAx>
        <c:axId val="213482816"/>
        <c:scaling>
          <c:orientation val="minMax"/>
          <c:min val="1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4011392"/>
        <c:crosses val="autoZero"/>
        <c:crossBetween val="between"/>
        <c:majorUnit val="150000000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cs-CZ" cap="small" baseline="0"/>
                    <a:t>Miliony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0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2014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209002677376172"/>
          <c:w val="0.78515625"/>
          <c:h val="0.53610174029451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(kum)'!$K$28:$K$39</c:f>
              <c:numCache>
                <c:formatCode>#\ ##0_ ;\-#\ ##0\ </c:formatCode>
                <c:ptCount val="12"/>
                <c:pt idx="0">
                  <c:v>492182423.00999999</c:v>
                </c:pt>
                <c:pt idx="1">
                  <c:v>1015604187.09</c:v>
                </c:pt>
                <c:pt idx="2">
                  <c:v>1400621457.28</c:v>
                </c:pt>
                <c:pt idx="3">
                  <c:v>1799065464.99</c:v>
                </c:pt>
                <c:pt idx="4">
                  <c:v>2173049204.7799997</c:v>
                </c:pt>
                <c:pt idx="5">
                  <c:v>2566234885.3400002</c:v>
                </c:pt>
                <c:pt idx="6">
                  <c:v>3207167591.0100002</c:v>
                </c:pt>
                <c:pt idx="7">
                  <c:v>3638327138.3100004</c:v>
                </c:pt>
                <c:pt idx="8">
                  <c:v>4093450172.8100004</c:v>
                </c:pt>
                <c:pt idx="9">
                  <c:v>4433983315.7799997</c:v>
                </c:pt>
                <c:pt idx="10">
                  <c:v>4876421455.3299999</c:v>
                </c:pt>
                <c:pt idx="11">
                  <c:v>5434439599.5500002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9-4067-8154-71DE52D16FAE}"/>
            </c:ext>
          </c:extLst>
        </c:ser>
        <c:ser>
          <c:idx val="1"/>
          <c:order val="1"/>
          <c:tx>
            <c:v>plán</c:v>
          </c:tx>
          <c:spPr>
            <a:ln w="25400"/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(kum)'!$L$28:$L$39</c:f>
              <c:numCache>
                <c:formatCode>#\ ##0_ ;\-#\ ##0\ </c:formatCode>
                <c:ptCount val="12"/>
                <c:pt idx="0">
                  <c:v>426583833.33333331</c:v>
                </c:pt>
                <c:pt idx="1">
                  <c:v>853167666.66666663</c:v>
                </c:pt>
                <c:pt idx="2">
                  <c:v>1279751500</c:v>
                </c:pt>
                <c:pt idx="3">
                  <c:v>1706335333.3333333</c:v>
                </c:pt>
                <c:pt idx="4">
                  <c:v>2132919166.6666665</c:v>
                </c:pt>
                <c:pt idx="5">
                  <c:v>2559503000</c:v>
                </c:pt>
                <c:pt idx="6">
                  <c:v>2986086833.333333</c:v>
                </c:pt>
                <c:pt idx="7">
                  <c:v>3412670666.6666665</c:v>
                </c:pt>
                <c:pt idx="8">
                  <c:v>3839254500</c:v>
                </c:pt>
                <c:pt idx="9">
                  <c:v>4265838333.333333</c:v>
                </c:pt>
                <c:pt idx="10">
                  <c:v>4692422166.666666</c:v>
                </c:pt>
                <c:pt idx="11">
                  <c:v>5119006000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9-4067-8154-71DE52D16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32192"/>
        <c:axId val="225131840"/>
      </c:lineChart>
      <c:catAx>
        <c:axId val="22663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13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131840"/>
        <c:scaling>
          <c:orientation val="minMax"/>
          <c:max val="56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632192"/>
        <c:crosses val="autoZero"/>
        <c:crossBetween val="between"/>
        <c:majorUnit val="70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18"/>
          <c:y val="0.21542712842712908"/>
          <c:w val="0.80000153186567835"/>
          <c:h val="0.6033932178932186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(měs)'!$E$28:$E$39</c:f>
              <c:numCache>
                <c:formatCode>#\ ##0_ ;\-#\ ##0\ </c:formatCode>
                <c:ptCount val="12"/>
                <c:pt idx="0">
                  <c:v>39648072.799999997</c:v>
                </c:pt>
                <c:pt idx="1">
                  <c:v>10100980.190000001</c:v>
                </c:pt>
                <c:pt idx="2">
                  <c:v>126184431.7</c:v>
                </c:pt>
                <c:pt idx="3">
                  <c:v>169464080.03</c:v>
                </c:pt>
                <c:pt idx="4">
                  <c:v>2091449.26</c:v>
                </c:pt>
                <c:pt idx="5">
                  <c:v>207202985.63999999</c:v>
                </c:pt>
                <c:pt idx="6">
                  <c:v>300064424.38999999</c:v>
                </c:pt>
                <c:pt idx="7">
                  <c:v>0</c:v>
                </c:pt>
                <c:pt idx="8">
                  <c:v>195742041.91999999</c:v>
                </c:pt>
                <c:pt idx="9">
                  <c:v>52191197.430000007</c:v>
                </c:pt>
                <c:pt idx="10">
                  <c:v>7435322.3599999994</c:v>
                </c:pt>
                <c:pt idx="11">
                  <c:v>239992416.34999999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F-4D2A-AA3E-591A8FEB3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69536"/>
        <c:axId val="226272384"/>
      </c:lineChart>
      <c:catAx>
        <c:axId val="2263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627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272384"/>
        <c:scaling>
          <c:orientation val="minMax"/>
          <c:max val="36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6369536"/>
        <c:crosses val="autoZero"/>
        <c:crossBetween val="between"/>
        <c:majorUnit val="40000000"/>
      </c:valAx>
    </c:plotArea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21889105339105341"/>
          <c:w val="0.80078125000000222"/>
          <c:h val="0.6103142135642152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(měs)'!$H$28:$H$39</c:f>
              <c:numCache>
                <c:formatCode>#\ ##0_ ;\-#\ ##0\ </c:formatCode>
                <c:ptCount val="12"/>
                <c:pt idx="0">
                  <c:v>218382625.47</c:v>
                </c:pt>
                <c:pt idx="1">
                  <c:v>322776634.93000001</c:v>
                </c:pt>
                <c:pt idx="2">
                  <c:v>97634424.770000011</c:v>
                </c:pt>
                <c:pt idx="3">
                  <c:v>171268464.53</c:v>
                </c:pt>
                <c:pt idx="4">
                  <c:v>295119634.63</c:v>
                </c:pt>
                <c:pt idx="5">
                  <c:v>127474632.93000001</c:v>
                </c:pt>
                <c:pt idx="6">
                  <c:v>205600598.69999999</c:v>
                </c:pt>
                <c:pt idx="7">
                  <c:v>330937104.10999995</c:v>
                </c:pt>
                <c:pt idx="8">
                  <c:v>181583877.93000001</c:v>
                </c:pt>
                <c:pt idx="9">
                  <c:v>177522253.44</c:v>
                </c:pt>
                <c:pt idx="10">
                  <c:v>339264287.33000004</c:v>
                </c:pt>
                <c:pt idx="11">
                  <c:v>230980969.22000003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B-4367-AC0E-AF1BC8A5D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34752"/>
        <c:axId val="226274112"/>
      </c:lineChart>
      <c:catAx>
        <c:axId val="22663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627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274112"/>
        <c:scaling>
          <c:orientation val="minMax"/>
          <c:max val="490000000.00000006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634752"/>
        <c:crosses val="autoZero"/>
        <c:crossBetween val="between"/>
        <c:majorUnit val="70000000"/>
        <c:minorUnit val="1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7"/>
          <c:y val="0.20553045515394924"/>
          <c:w val="0.8086643835616435"/>
          <c:h val="0.61555321285140563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(měs)'!$B$8:$B$19</c:f>
              <c:numCache>
                <c:formatCode>#\ ##0_ ;\-#\ ##0\ </c:formatCode>
                <c:ptCount val="12"/>
                <c:pt idx="0">
                  <c:v>118604816.37</c:v>
                </c:pt>
                <c:pt idx="1">
                  <c:v>101154943.59</c:v>
                </c:pt>
                <c:pt idx="2">
                  <c:v>86291855.129999995</c:v>
                </c:pt>
                <c:pt idx="3">
                  <c:v>64692669.869999997</c:v>
                </c:pt>
                <c:pt idx="4">
                  <c:v>77439590.770000011</c:v>
                </c:pt>
                <c:pt idx="5">
                  <c:v>94320628.789999992</c:v>
                </c:pt>
                <c:pt idx="6">
                  <c:v>113521977.66999999</c:v>
                </c:pt>
                <c:pt idx="7">
                  <c:v>103251002.31</c:v>
                </c:pt>
                <c:pt idx="8">
                  <c:v>99329225.140000001</c:v>
                </c:pt>
                <c:pt idx="9">
                  <c:v>103605158.52</c:v>
                </c:pt>
                <c:pt idx="10">
                  <c:v>100679550.06</c:v>
                </c:pt>
                <c:pt idx="11">
                  <c:v>131904777.72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4-4F4F-94E5-70A997B5D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71072"/>
        <c:axId val="226275840"/>
      </c:lineChart>
      <c:catAx>
        <c:axId val="2263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627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275840"/>
        <c:scaling>
          <c:orientation val="minMax"/>
          <c:max val="18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371072"/>
        <c:crosses val="autoZero"/>
        <c:crossBetween val="between"/>
        <c:majorUnit val="2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6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20626406926406926"/>
          <c:w val="0.81108523592085235"/>
          <c:h val="0.6263008658008655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(měs)'!$E$8:$E$19</c:f>
              <c:numCache>
                <c:formatCode>#\ ##0_ ;\-#\ ##0\ </c:formatCode>
                <c:ptCount val="12"/>
                <c:pt idx="0">
                  <c:v>8391304.8200000003</c:v>
                </c:pt>
                <c:pt idx="1">
                  <c:v>7101732.1200000001</c:v>
                </c:pt>
                <c:pt idx="2">
                  <c:v>5998942.54</c:v>
                </c:pt>
                <c:pt idx="3">
                  <c:v>5192576.24</c:v>
                </c:pt>
                <c:pt idx="4">
                  <c:v>6078732.2199999997</c:v>
                </c:pt>
                <c:pt idx="5">
                  <c:v>7252288.8700000001</c:v>
                </c:pt>
                <c:pt idx="6">
                  <c:v>7891959.4500000002</c:v>
                </c:pt>
                <c:pt idx="7">
                  <c:v>7177929.2799999993</c:v>
                </c:pt>
                <c:pt idx="8">
                  <c:v>5689055.8100000005</c:v>
                </c:pt>
                <c:pt idx="9">
                  <c:v>7053270.7800000003</c:v>
                </c:pt>
                <c:pt idx="10">
                  <c:v>6854100.1199999992</c:v>
                </c:pt>
                <c:pt idx="11">
                  <c:v>8979862.8300000001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0-4F19-8D87-EC415D031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72096"/>
        <c:axId val="226277568"/>
      </c:lineChart>
      <c:catAx>
        <c:axId val="2263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627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277568"/>
        <c:scaling>
          <c:orientation val="minMax"/>
          <c:max val="12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6372096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106" footer="0.49212598450000106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6"/>
          <c:y val="0.24001948051948155"/>
          <c:w val="0.78669351101309648"/>
          <c:h val="0.5897745310245309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(měs)'!$B$28:$B$39</c:f>
              <c:numCache>
                <c:formatCode>#\ ##0_ ;\-#\ ##0\ </c:formatCode>
                <c:ptCount val="12"/>
                <c:pt idx="0">
                  <c:v>12614897.68</c:v>
                </c:pt>
                <c:pt idx="1">
                  <c:v>18834056.75</c:v>
                </c:pt>
                <c:pt idx="2">
                  <c:v>7828834.4199999999</c:v>
                </c:pt>
                <c:pt idx="3">
                  <c:v>9143124.8399999999</c:v>
                </c:pt>
                <c:pt idx="4">
                  <c:v>10274571.67</c:v>
                </c:pt>
                <c:pt idx="5">
                  <c:v>11094534.18</c:v>
                </c:pt>
                <c:pt idx="6">
                  <c:v>14996960.879999999</c:v>
                </c:pt>
                <c:pt idx="7">
                  <c:v>14005117.920000002</c:v>
                </c:pt>
                <c:pt idx="8">
                  <c:v>14199812.399999999</c:v>
                </c:pt>
                <c:pt idx="9">
                  <c:v>11808998.18</c:v>
                </c:pt>
                <c:pt idx="10">
                  <c:v>11354368.870000001</c:v>
                </c:pt>
                <c:pt idx="11">
                  <c:v>11134880.93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5-495B-BCFF-3CD08DE27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045952"/>
        <c:axId val="227082240"/>
      </c:lineChart>
      <c:catAx>
        <c:axId val="2260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08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082240"/>
        <c:scaling>
          <c:orientation val="minMax"/>
          <c:max val="24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045952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23590930388219639"/>
          <c:w val="0.8294133528901515"/>
          <c:h val="0.592323293172690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(měs)'!$H$8:$H$19</c:f>
              <c:numCache>
                <c:formatCode>#\ ##0_ ;\-#\ ##0\ </c:formatCode>
                <c:ptCount val="12"/>
                <c:pt idx="0">
                  <c:v>10094948.369999999</c:v>
                </c:pt>
                <c:pt idx="1">
                  <c:v>6722.36</c:v>
                </c:pt>
                <c:pt idx="2">
                  <c:v>11147.7</c:v>
                </c:pt>
                <c:pt idx="3">
                  <c:v>13597.18</c:v>
                </c:pt>
                <c:pt idx="4">
                  <c:v>2339.6999999999998</c:v>
                </c:pt>
                <c:pt idx="5">
                  <c:v>22234.16</c:v>
                </c:pt>
                <c:pt idx="6">
                  <c:v>66625.179999999993</c:v>
                </c:pt>
                <c:pt idx="7">
                  <c:v>20738174.440000005</c:v>
                </c:pt>
                <c:pt idx="8">
                  <c:v>1480033.0899999999</c:v>
                </c:pt>
                <c:pt idx="9">
                  <c:v>9377090.9199999999</c:v>
                </c:pt>
                <c:pt idx="10">
                  <c:v>6459.47</c:v>
                </c:pt>
                <c:pt idx="11">
                  <c:v>13785042.290000001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8-48AA-BD48-06185AFDE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046976"/>
        <c:axId val="227082816"/>
      </c:lineChart>
      <c:catAx>
        <c:axId val="22604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08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082816"/>
        <c:scaling>
          <c:orientation val="minMax"/>
          <c:max val="21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046976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5390656565656661"/>
          <c:w val="0.79256435811020409"/>
          <c:h val="0.57615187590187777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(měs)'!$K$8:$K$19</c:f>
              <c:numCache>
                <c:formatCode>#\ ##0_ ;\-#\ ##0\ </c:formatCode>
                <c:ptCount val="12"/>
                <c:pt idx="0">
                  <c:v>674175.99</c:v>
                </c:pt>
                <c:pt idx="1">
                  <c:v>0</c:v>
                </c:pt>
                <c:pt idx="2">
                  <c:v>2471889.61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4006693.6</c:v>
                </c:pt>
                <c:pt idx="7">
                  <c:v>0</c:v>
                </c:pt>
                <c:pt idx="8">
                  <c:v>5281345.0999999996</c:v>
                </c:pt>
                <c:pt idx="9">
                  <c:v>2851416.06</c:v>
                </c:pt>
                <c:pt idx="10">
                  <c:v>1645365.1</c:v>
                </c:pt>
                <c:pt idx="11">
                  <c:v>11774073.890000001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2-4219-BBBC-930080B09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048000"/>
        <c:axId val="227084544"/>
      </c:lineChart>
      <c:catAx>
        <c:axId val="22604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084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084544"/>
        <c:scaling>
          <c:orientation val="minMax"/>
          <c:max val="12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048000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2015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3790160642570291"/>
          <c:w val="0.78515625"/>
          <c:h val="0.5956064257028097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(měs)'!$K$28:$K$39</c:f>
              <c:numCache>
                <c:formatCode>#\ ##0_ ;\-#\ ##0\ </c:formatCode>
                <c:ptCount val="12"/>
                <c:pt idx="0">
                  <c:v>408410841.5</c:v>
                </c:pt>
                <c:pt idx="1">
                  <c:v>459975069.94000006</c:v>
                </c:pt>
                <c:pt idx="2">
                  <c:v>326421525.87</c:v>
                </c:pt>
                <c:pt idx="3">
                  <c:v>419774512.69000006</c:v>
                </c:pt>
                <c:pt idx="4">
                  <c:v>391006318.25</c:v>
                </c:pt>
                <c:pt idx="5">
                  <c:v>447367304.56999999</c:v>
                </c:pt>
                <c:pt idx="6">
                  <c:v>646149239.86999989</c:v>
                </c:pt>
                <c:pt idx="7">
                  <c:v>476109328.05999994</c:v>
                </c:pt>
                <c:pt idx="8">
                  <c:v>503305391.38999999</c:v>
                </c:pt>
                <c:pt idx="9">
                  <c:v>364409385.33000004</c:v>
                </c:pt>
                <c:pt idx="10">
                  <c:v>467239453.31000006</c:v>
                </c:pt>
                <c:pt idx="11">
                  <c:v>648552023.23000002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9-4341-82E6-5399A65CE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049536"/>
        <c:axId val="227086272"/>
      </c:lineChart>
      <c:catAx>
        <c:axId val="22604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08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086272"/>
        <c:scaling>
          <c:orientation val="minMax"/>
          <c:max val="72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049536"/>
        <c:crosses val="autoZero"/>
        <c:crossBetween val="between"/>
        <c:majorUnit val="8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18"/>
          <c:y val="0.19821849593495941"/>
          <c:w val="0.80000153186567835"/>
          <c:h val="0.53886077235772367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(kum)'!$E$28:$E$39</c:f>
              <c:numCache>
                <c:formatCode>#\ ##0_ ;\-#\ ##0\ </c:formatCode>
                <c:ptCount val="12"/>
                <c:pt idx="0">
                  <c:v>39648072.799999997</c:v>
                </c:pt>
                <c:pt idx="1">
                  <c:v>49749052.989999995</c:v>
                </c:pt>
                <c:pt idx="2">
                  <c:v>175933484.69</c:v>
                </c:pt>
                <c:pt idx="3">
                  <c:v>345397564.72000003</c:v>
                </c:pt>
                <c:pt idx="4">
                  <c:v>347489013.98000002</c:v>
                </c:pt>
                <c:pt idx="5">
                  <c:v>554691999.62</c:v>
                </c:pt>
                <c:pt idx="6">
                  <c:v>854756424.00999999</c:v>
                </c:pt>
                <c:pt idx="7">
                  <c:v>854756424.00999999</c:v>
                </c:pt>
                <c:pt idx="8">
                  <c:v>1050498465.9299999</c:v>
                </c:pt>
                <c:pt idx="9">
                  <c:v>1102689663.3599999</c:v>
                </c:pt>
                <c:pt idx="10">
                  <c:v>1110124985.7199998</c:v>
                </c:pt>
                <c:pt idx="11">
                  <c:v>1350117402.0699997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8-496F-ADBF-DD4FFF498CFE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(kum)'!$F$28:$F$39</c:f>
              <c:numCache>
                <c:formatCode>#\ ##0_ ;\-#\ ##0\ </c:formatCode>
                <c:ptCount val="12"/>
                <c:pt idx="0">
                  <c:v>103362666.66666667</c:v>
                </c:pt>
                <c:pt idx="1">
                  <c:v>206725333.33333334</c:v>
                </c:pt>
                <c:pt idx="2">
                  <c:v>310088000</c:v>
                </c:pt>
                <c:pt idx="3">
                  <c:v>413450666.66666669</c:v>
                </c:pt>
                <c:pt idx="4">
                  <c:v>516813333.33333337</c:v>
                </c:pt>
                <c:pt idx="5">
                  <c:v>620176000</c:v>
                </c:pt>
                <c:pt idx="6">
                  <c:v>723538666.66666675</c:v>
                </c:pt>
                <c:pt idx="7">
                  <c:v>826901333.33333337</c:v>
                </c:pt>
                <c:pt idx="8">
                  <c:v>930264000</c:v>
                </c:pt>
                <c:pt idx="9">
                  <c:v>1033626666.6666667</c:v>
                </c:pt>
                <c:pt idx="10">
                  <c:v>1136989333.3333335</c:v>
                </c:pt>
                <c:pt idx="11">
                  <c:v>1240352000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8-496F-ADBF-DD4FFF498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73120"/>
        <c:axId val="227088576"/>
      </c:lineChart>
      <c:catAx>
        <c:axId val="2263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7088576"/>
        <c:crosses val="autoZero"/>
        <c:auto val="1"/>
        <c:lblAlgn val="ctr"/>
        <c:lblOffset val="100"/>
        <c:noMultiLvlLbl val="0"/>
      </c:catAx>
      <c:valAx>
        <c:axId val="227088576"/>
        <c:scaling>
          <c:orientation val="minMax"/>
          <c:max val="14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6373120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b="1" i="0" baseline="0"/>
          </a:pPr>
          <a:endParaRPr lang="cs-CZ"/>
        </a:p>
      </c:txPr>
    </c:legend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2200" b="1" i="0" baseline="0">
                <a:solidFill>
                  <a:sysClr val="windowText" lastClr="000000"/>
                </a:solidFill>
                <a:effectLst/>
                <a:latin typeface="+mj-lt"/>
              </a:rPr>
              <a:t>Vývoj výnosů SMO z daně z příjmů FO placená plátci</a:t>
            </a:r>
            <a:endParaRPr lang="cs-CZ" sz="2200" b="1">
              <a:solidFill>
                <a:sysClr val="windowText" lastClr="000000"/>
              </a:solidFill>
              <a:effectLst/>
              <a:latin typeface="+mj-lt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cs-CZ" sz="1200" b="1" i="0" baseline="0">
                <a:solidFill>
                  <a:sysClr val="windowText" lastClr="000000"/>
                </a:solidFill>
                <a:effectLst/>
                <a:latin typeface="+mj-lt"/>
              </a:rPr>
              <a:t>(včetně meziročních změn v %)</a:t>
            </a:r>
            <a:endParaRPr lang="cs-CZ" sz="1200">
              <a:solidFill>
                <a:sysClr val="windowText" lastClr="000000"/>
              </a:solidFill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'Vývoj2015-24'!$A$4:$A$5</c:f>
              <c:strCache>
                <c:ptCount val="1"/>
                <c:pt idx="0">
                  <c:v>Daň z příjmů FO placená plátci</c:v>
                </c:pt>
              </c:strCache>
            </c:strRef>
          </c:tx>
          <c:spPr>
            <a:pattFill prst="pct90">
              <a:fgClr>
                <a:srgbClr val="003C69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065233002664554E-17"/>
                  <c:y val="-1.3951170901843474E-2"/>
                </c:manualLayout>
              </c:layout>
              <c:tx>
                <c:rich>
                  <a:bodyPr/>
                  <a:lstStyle/>
                  <a:p>
                    <a:fld id="{9C9DD751-1CE6-45DB-B8D6-AAB16141AAAF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4A0-4159-A3FB-3D8116AC74E9}"/>
                </c:ext>
              </c:extLst>
            </c:dLbl>
            <c:dLbl>
              <c:idx val="1"/>
              <c:layout>
                <c:manualLayout>
                  <c:x val="-2.4130466005329107E-17"/>
                  <c:y val="-5.9790732436472349E-3"/>
                </c:manualLayout>
              </c:layout>
              <c:tx>
                <c:rich>
                  <a:bodyPr/>
                  <a:lstStyle/>
                  <a:p>
                    <a:fld id="{26E0F21A-7320-451C-955C-B5B5C761664D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4A0-4159-A3FB-3D8116AC74E9}"/>
                </c:ext>
              </c:extLst>
            </c:dLbl>
            <c:dLbl>
              <c:idx val="2"/>
              <c:layout>
                <c:manualLayout>
                  <c:x val="0"/>
                  <c:y val="-9.9651220727453912E-3"/>
                </c:manualLayout>
              </c:layout>
              <c:tx>
                <c:rich>
                  <a:bodyPr/>
                  <a:lstStyle/>
                  <a:p>
                    <a:fld id="{2A38684D-1C47-46BD-8E63-A102226F5245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4A0-4159-A3FB-3D8116AC74E9}"/>
                </c:ext>
              </c:extLst>
            </c:dLbl>
            <c:dLbl>
              <c:idx val="3"/>
              <c:layout>
                <c:manualLayout>
                  <c:x val="0"/>
                  <c:y val="-1.195814648729447E-2"/>
                </c:manualLayout>
              </c:layout>
              <c:tx>
                <c:rich>
                  <a:bodyPr/>
                  <a:lstStyle/>
                  <a:p>
                    <a:fld id="{ECFAF7F2-4B61-425B-81CB-CD29B76A6968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4A0-4159-A3FB-3D8116AC74E9}"/>
                </c:ext>
              </c:extLst>
            </c:dLbl>
            <c:dLbl>
              <c:idx val="4"/>
              <c:layout>
                <c:manualLayout>
                  <c:x val="0"/>
                  <c:y val="-1.1958146487294506E-2"/>
                </c:manualLayout>
              </c:layout>
              <c:tx>
                <c:rich>
                  <a:bodyPr/>
                  <a:lstStyle/>
                  <a:p>
                    <a:fld id="{FB0ED54A-FD42-4091-8C71-1948ABE8AD21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4A0-4159-A3FB-3D8116AC74E9}"/>
                </c:ext>
              </c:extLst>
            </c:dLbl>
            <c:dLbl>
              <c:idx val="5"/>
              <c:layout>
                <c:manualLayout>
                  <c:x val="0"/>
                  <c:y val="-5.979073243647234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CEE1263-5E56-4776-A19B-7243D3B55A4D}" type="CELLRANGE">
                      <a:rPr lang="en-US">
                        <a:solidFill>
                          <a:srgbClr val="FF0000"/>
                        </a:solidFill>
                      </a:rPr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numFmt formatCode="0.00_ ;[Red]\-0.00\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4A0-4159-A3FB-3D8116AC74E9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4B189AB-712C-4FD4-B3E2-F20368862CC3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numFmt formatCode="0.00_ ;[Red]\-0.00\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4A0-4159-A3FB-3D8116AC74E9}"/>
                </c:ext>
              </c:extLst>
            </c:dLbl>
            <c:dLbl>
              <c:idx val="7"/>
              <c:layout>
                <c:manualLayout>
                  <c:x val="0"/>
                  <c:y val="0"/>
                </c:manualLayout>
              </c:layout>
              <c:tx>
                <c:strRef>
                  <c:f>'Vývoj2015-24'!$X$5</c:f>
                  <c:strCache>
                    <c:ptCount val="1"/>
                    <c:pt idx="0">
                      <c:v>-26,58 %</c:v>
                    </c:pt>
                  </c:strCache>
                </c:strRef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{17322B6E-9AC0-4553-8A09-FFB43E18DABA}</c15:txfldGUID>
                      <c15:f>'Vývoj2015-24'!$X$5</c15:f>
                      <c15:dlblFieldTableCache>
                        <c:ptCount val="1"/>
                        <c:pt idx="0">
                          <c:v>-26,58 %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7-C4A0-4159-A3FB-3D8116AC74E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00D351C-BCCC-4F06-ADCD-79C975C85D5C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4A0-4159-A3FB-3D8116AC74E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E7B79EE-0B6A-42CE-B82C-4CCEE997BE00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4A0-4159-A3FB-3D8116AC74E9}"/>
                </c:ext>
              </c:extLst>
            </c:dLbl>
            <c:numFmt formatCode="0.00_ ;[Red]\-0.00\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'Vývoj2015-24'!$R$3:$AA$3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'Vývoj2015-24'!$R$4:$AA$4</c:f>
              <c:numCache>
                <c:formatCode>#,##0</c:formatCode>
                <c:ptCount val="10"/>
                <c:pt idx="0">
                  <c:v>1278457951.02</c:v>
                </c:pt>
                <c:pt idx="1">
                  <c:v>1459301625.48</c:v>
                </c:pt>
                <c:pt idx="2">
                  <c:v>1655725892.6099999</c:v>
                </c:pt>
                <c:pt idx="3">
                  <c:v>1854607936.8499999</c:v>
                </c:pt>
                <c:pt idx="4">
                  <c:v>2065137597.8</c:v>
                </c:pt>
                <c:pt idx="5">
                  <c:v>1937400280.73</c:v>
                </c:pt>
                <c:pt idx="6">
                  <c:v>1422429822.3699999</c:v>
                </c:pt>
                <c:pt idx="7">
                  <c:v>1520338176.4499998</c:v>
                </c:pt>
                <c:pt idx="8">
                  <c:v>1758333192.1700001</c:v>
                </c:pt>
                <c:pt idx="9">
                  <c:v>1925227758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'Vývoj2015-24'!$R$5:$AA$5</c15:f>
                <c15:dlblRangeCache>
                  <c:ptCount val="10"/>
                  <c:pt idx="0">
                    <c:v>1,54 %</c:v>
                  </c:pt>
                  <c:pt idx="1">
                    <c:v>14,15 %</c:v>
                  </c:pt>
                  <c:pt idx="2">
                    <c:v>13,46 %</c:v>
                  </c:pt>
                  <c:pt idx="3">
                    <c:v>12,01 %</c:v>
                  </c:pt>
                  <c:pt idx="4">
                    <c:v>11,35 %</c:v>
                  </c:pt>
                  <c:pt idx="5">
                    <c:v>-6,19 %</c:v>
                  </c:pt>
                  <c:pt idx="6">
                    <c:v>-26,58 %</c:v>
                  </c:pt>
                  <c:pt idx="7">
                    <c:v>6,88 %</c:v>
                  </c:pt>
                  <c:pt idx="8">
                    <c:v>15,65 %</c:v>
                  </c:pt>
                  <c:pt idx="9">
                    <c:v>9,49 %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C4A0-4159-A3FB-3D8116AC7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6249856"/>
        <c:axId val="216154688"/>
      </c:barChart>
      <c:catAx>
        <c:axId val="21624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154688"/>
        <c:crosses val="autoZero"/>
        <c:auto val="1"/>
        <c:lblAlgn val="ctr"/>
        <c:lblOffset val="100"/>
        <c:noMultiLvlLbl val="0"/>
      </c:catAx>
      <c:valAx>
        <c:axId val="216154688"/>
        <c:scaling>
          <c:orientation val="minMax"/>
          <c:min val="5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249856"/>
        <c:crosses val="autoZero"/>
        <c:crossBetween val="between"/>
        <c:majorUnit val="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userShapes r:id="rId3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19338888888888889"/>
          <c:w val="0.80078125000000222"/>
          <c:h val="0.555059906291835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(kum)'!$H$28:$H$39</c:f>
              <c:numCache>
                <c:formatCode>#\ ##0_ ;\-#\ ##0\ </c:formatCode>
                <c:ptCount val="12"/>
                <c:pt idx="0">
                  <c:v>218382625.47</c:v>
                </c:pt>
                <c:pt idx="1">
                  <c:v>541159260.39999998</c:v>
                </c:pt>
                <c:pt idx="2">
                  <c:v>638793685.16999996</c:v>
                </c:pt>
                <c:pt idx="3">
                  <c:v>810062149.69999993</c:v>
                </c:pt>
                <c:pt idx="4">
                  <c:v>1105181784.3299999</c:v>
                </c:pt>
                <c:pt idx="5">
                  <c:v>1232656417.26</c:v>
                </c:pt>
                <c:pt idx="6">
                  <c:v>1438257015.96</c:v>
                </c:pt>
                <c:pt idx="7">
                  <c:v>1769194120.0699999</c:v>
                </c:pt>
                <c:pt idx="8">
                  <c:v>1950777998</c:v>
                </c:pt>
                <c:pt idx="9">
                  <c:v>2128300251.4400001</c:v>
                </c:pt>
                <c:pt idx="10">
                  <c:v>2467564538.77</c:v>
                </c:pt>
                <c:pt idx="11">
                  <c:v>2698545507.9899998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9-40D4-9BA6-8C7DB6B54331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(kum)'!$I$28:$I$39</c:f>
              <c:numCache>
                <c:formatCode>#\ ##0_ ;\-#\ ##0\ </c:formatCode>
                <c:ptCount val="12"/>
                <c:pt idx="0">
                  <c:v>223823583.33333334</c:v>
                </c:pt>
                <c:pt idx="1">
                  <c:v>447647166.66666669</c:v>
                </c:pt>
                <c:pt idx="2">
                  <c:v>671470750</c:v>
                </c:pt>
                <c:pt idx="3">
                  <c:v>895294333.33333337</c:v>
                </c:pt>
                <c:pt idx="4">
                  <c:v>1119117916.6666667</c:v>
                </c:pt>
                <c:pt idx="5">
                  <c:v>1342941500</c:v>
                </c:pt>
                <c:pt idx="6">
                  <c:v>1566765083.3333335</c:v>
                </c:pt>
                <c:pt idx="7">
                  <c:v>1790588666.6666667</c:v>
                </c:pt>
                <c:pt idx="8">
                  <c:v>2014412250</c:v>
                </c:pt>
                <c:pt idx="9">
                  <c:v>2238235833.3333335</c:v>
                </c:pt>
                <c:pt idx="10">
                  <c:v>2462059416.666667</c:v>
                </c:pt>
                <c:pt idx="11">
                  <c:v>2685883000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9-40D4-9BA6-8C7DB6B54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828288"/>
        <c:axId val="227573760"/>
      </c:lineChart>
      <c:catAx>
        <c:axId val="22682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/>
            </a:pPr>
            <a:endParaRPr lang="cs-CZ"/>
          </a:p>
        </c:txPr>
        <c:crossAx val="227573760"/>
        <c:crosses val="autoZero"/>
        <c:auto val="1"/>
        <c:lblAlgn val="ctr"/>
        <c:lblOffset val="100"/>
        <c:noMultiLvlLbl val="0"/>
      </c:catAx>
      <c:valAx>
        <c:axId val="227573760"/>
        <c:scaling>
          <c:orientation val="minMax"/>
          <c:max val="27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828288"/>
        <c:crosses val="autoZero"/>
        <c:crossBetween val="between"/>
        <c:majorUnit val="300000000"/>
        <c:min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7"/>
          <c:y val="0.18427878179384224"/>
          <c:w val="0.8086643835616435"/>
          <c:h val="0.5475478580990628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(kum)'!$B$8:$B$19</c:f>
              <c:numCache>
                <c:formatCode>#\ ##0_ ;\-#\ ##0\ </c:formatCode>
                <c:ptCount val="12"/>
                <c:pt idx="0">
                  <c:v>118604816.37</c:v>
                </c:pt>
                <c:pt idx="1">
                  <c:v>219759759.96000001</c:v>
                </c:pt>
                <c:pt idx="2">
                  <c:v>306051615.09000003</c:v>
                </c:pt>
                <c:pt idx="3">
                  <c:v>370744284.96000004</c:v>
                </c:pt>
                <c:pt idx="4">
                  <c:v>448183875.73000002</c:v>
                </c:pt>
                <c:pt idx="5">
                  <c:v>542504504.51999998</c:v>
                </c:pt>
                <c:pt idx="6">
                  <c:v>656026482.18999994</c:v>
                </c:pt>
                <c:pt idx="7">
                  <c:v>759277484.5</c:v>
                </c:pt>
                <c:pt idx="8">
                  <c:v>858606709.63999999</c:v>
                </c:pt>
                <c:pt idx="9">
                  <c:v>962211868.15999997</c:v>
                </c:pt>
                <c:pt idx="10">
                  <c:v>1062891418.22</c:v>
                </c:pt>
                <c:pt idx="11">
                  <c:v>1194796195.9400001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A-4574-A023-689317D9240F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(kum)'!$C$8:$C$19</c:f>
              <c:numCache>
                <c:formatCode>#\ ##0_ ;\-#\ ##0\ </c:formatCode>
                <c:ptCount val="12"/>
                <c:pt idx="0">
                  <c:v>99949000</c:v>
                </c:pt>
                <c:pt idx="1">
                  <c:v>199898000</c:v>
                </c:pt>
                <c:pt idx="2">
                  <c:v>299847000</c:v>
                </c:pt>
                <c:pt idx="3">
                  <c:v>399796000</c:v>
                </c:pt>
                <c:pt idx="4">
                  <c:v>499745000</c:v>
                </c:pt>
                <c:pt idx="5">
                  <c:v>599694000</c:v>
                </c:pt>
                <c:pt idx="6">
                  <c:v>699643000</c:v>
                </c:pt>
                <c:pt idx="7">
                  <c:v>799592000</c:v>
                </c:pt>
                <c:pt idx="8">
                  <c:v>899541000</c:v>
                </c:pt>
                <c:pt idx="9">
                  <c:v>999490000</c:v>
                </c:pt>
                <c:pt idx="10">
                  <c:v>1099439000</c:v>
                </c:pt>
                <c:pt idx="11">
                  <c:v>1199388000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A-4574-A023-689317D9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829312"/>
        <c:axId val="227575488"/>
      </c:lineChart>
      <c:catAx>
        <c:axId val="22682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60000" vert="horz"/>
          <a:lstStyle/>
          <a:p>
            <a:pPr>
              <a:defRPr/>
            </a:pPr>
            <a:endParaRPr lang="cs-CZ"/>
          </a:p>
        </c:txPr>
        <c:crossAx val="227575488"/>
        <c:crosses val="autoZero"/>
        <c:auto val="1"/>
        <c:lblAlgn val="ctr"/>
        <c:lblOffset val="100"/>
        <c:noMultiLvlLbl val="0"/>
      </c:catAx>
      <c:valAx>
        <c:axId val="227575488"/>
        <c:scaling>
          <c:orientation val="minMax"/>
          <c:max val="135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829312"/>
        <c:crosses val="autoZero"/>
        <c:crossBetween val="between"/>
        <c:majorUnit val="15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6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19776338688085712"/>
          <c:w val="0.81108523592085235"/>
          <c:h val="0.55829551539491362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(kum)'!$E$8:$E$19</c:f>
              <c:numCache>
                <c:formatCode>#\ ##0_ ;\-#\ ##0\ </c:formatCode>
                <c:ptCount val="12"/>
                <c:pt idx="0">
                  <c:v>8391304.8200000003</c:v>
                </c:pt>
                <c:pt idx="1">
                  <c:v>15493036.940000001</c:v>
                </c:pt>
                <c:pt idx="2">
                  <c:v>21491979.48</c:v>
                </c:pt>
                <c:pt idx="3">
                  <c:v>26684555.719999999</c:v>
                </c:pt>
                <c:pt idx="4">
                  <c:v>32763287.939999998</c:v>
                </c:pt>
                <c:pt idx="5">
                  <c:v>40015576.809999995</c:v>
                </c:pt>
                <c:pt idx="6">
                  <c:v>47907536.259999998</c:v>
                </c:pt>
                <c:pt idx="7">
                  <c:v>55085465.539999999</c:v>
                </c:pt>
                <c:pt idx="8">
                  <c:v>60774521.350000001</c:v>
                </c:pt>
                <c:pt idx="9">
                  <c:v>67827792.129999995</c:v>
                </c:pt>
                <c:pt idx="10">
                  <c:v>74681892.25</c:v>
                </c:pt>
                <c:pt idx="11">
                  <c:v>83661755.079999998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9-48EA-87B1-BFE4942D959B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(kum)'!$F$8:$F$19</c:f>
              <c:numCache>
                <c:formatCode>#\ ##0_ ;\-#\ ##0\ </c:formatCode>
                <c:ptCount val="12"/>
                <c:pt idx="0">
                  <c:v>7084750</c:v>
                </c:pt>
                <c:pt idx="1">
                  <c:v>14169500</c:v>
                </c:pt>
                <c:pt idx="2">
                  <c:v>21254250</c:v>
                </c:pt>
                <c:pt idx="3">
                  <c:v>28339000</c:v>
                </c:pt>
                <c:pt idx="4">
                  <c:v>35423750</c:v>
                </c:pt>
                <c:pt idx="5">
                  <c:v>42508500</c:v>
                </c:pt>
                <c:pt idx="6">
                  <c:v>49593250</c:v>
                </c:pt>
                <c:pt idx="7">
                  <c:v>56678000</c:v>
                </c:pt>
                <c:pt idx="8">
                  <c:v>63762750</c:v>
                </c:pt>
                <c:pt idx="9">
                  <c:v>70847500</c:v>
                </c:pt>
                <c:pt idx="10">
                  <c:v>77932250</c:v>
                </c:pt>
                <c:pt idx="11">
                  <c:v>85017000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9-48EA-87B1-BFE4942D9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829824"/>
        <c:axId val="227577216"/>
      </c:lineChart>
      <c:catAx>
        <c:axId val="2268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757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577216"/>
        <c:scaling>
          <c:orientation val="minMax"/>
          <c:max val="9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6829824"/>
        <c:crosses val="autoZero"/>
        <c:crossBetween val="between"/>
        <c:maj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106" footer="0.49212598450000106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6"/>
          <c:y val="0.19751606425702842"/>
          <c:w val="0.78669351101309648"/>
          <c:h val="0.5472710843373495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(kum)'!$B$28:$B$39</c:f>
              <c:numCache>
                <c:formatCode>#\ ##0_ ;\-#\ ##0\ </c:formatCode>
                <c:ptCount val="12"/>
                <c:pt idx="0">
                  <c:v>12614897.68</c:v>
                </c:pt>
                <c:pt idx="1">
                  <c:v>31448954.43</c:v>
                </c:pt>
                <c:pt idx="2">
                  <c:v>39277788.850000001</c:v>
                </c:pt>
                <c:pt idx="3">
                  <c:v>48420913.689999998</c:v>
                </c:pt>
                <c:pt idx="4">
                  <c:v>58695485.359999999</c:v>
                </c:pt>
                <c:pt idx="5">
                  <c:v>69790019.539999992</c:v>
                </c:pt>
                <c:pt idx="6">
                  <c:v>84786980.419999987</c:v>
                </c:pt>
                <c:pt idx="7">
                  <c:v>98792098.339999989</c:v>
                </c:pt>
                <c:pt idx="8">
                  <c:v>112991910.73999998</c:v>
                </c:pt>
                <c:pt idx="9">
                  <c:v>124800908.91999999</c:v>
                </c:pt>
                <c:pt idx="10">
                  <c:v>136155277.78999999</c:v>
                </c:pt>
                <c:pt idx="11">
                  <c:v>147290158.72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9-45F0-B640-1FD5ECF6A714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(kum)'!$C$28:$C$39</c:f>
              <c:numCache>
                <c:formatCode>#\ ##0_ ;\-#\ ##0\ </c:formatCode>
                <c:ptCount val="12"/>
                <c:pt idx="0">
                  <c:v>11940000</c:v>
                </c:pt>
                <c:pt idx="1">
                  <c:v>23880000</c:v>
                </c:pt>
                <c:pt idx="2">
                  <c:v>35820000</c:v>
                </c:pt>
                <c:pt idx="3">
                  <c:v>47760000</c:v>
                </c:pt>
                <c:pt idx="4">
                  <c:v>59700000</c:v>
                </c:pt>
                <c:pt idx="5">
                  <c:v>71640000</c:v>
                </c:pt>
                <c:pt idx="6">
                  <c:v>83580000</c:v>
                </c:pt>
                <c:pt idx="7">
                  <c:v>95520000</c:v>
                </c:pt>
                <c:pt idx="8">
                  <c:v>107460000</c:v>
                </c:pt>
                <c:pt idx="9">
                  <c:v>119400000</c:v>
                </c:pt>
                <c:pt idx="10">
                  <c:v>131340000</c:v>
                </c:pt>
                <c:pt idx="11">
                  <c:v>143280000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9-45F0-B640-1FD5ECF6A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830848"/>
        <c:axId val="227578944"/>
      </c:lineChart>
      <c:catAx>
        <c:axId val="22683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57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578944"/>
        <c:scaling>
          <c:orientation val="minMax"/>
          <c:max val="16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830848"/>
        <c:crosses val="autoZero"/>
        <c:crossBetween val="between"/>
        <c:majorUnit val="2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18915562248995985"/>
          <c:w val="0.8294133528901515"/>
          <c:h val="0.56257095046854189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(kum)'!$H$8:$H$19</c:f>
              <c:numCache>
                <c:formatCode>#\ ##0_ ;\-#\ ##0\ </c:formatCode>
                <c:ptCount val="12"/>
                <c:pt idx="0">
                  <c:v>10094948.369999999</c:v>
                </c:pt>
                <c:pt idx="1">
                  <c:v>10101670.729999999</c:v>
                </c:pt>
                <c:pt idx="2">
                  <c:v>10112818.429999998</c:v>
                </c:pt>
                <c:pt idx="3">
                  <c:v>10126415.609999998</c:v>
                </c:pt>
                <c:pt idx="4">
                  <c:v>10128755.309999997</c:v>
                </c:pt>
                <c:pt idx="5">
                  <c:v>10150989.469999997</c:v>
                </c:pt>
                <c:pt idx="6">
                  <c:v>10217614.649999997</c:v>
                </c:pt>
                <c:pt idx="7">
                  <c:v>30955789.090000004</c:v>
                </c:pt>
                <c:pt idx="8">
                  <c:v>32435822.180000003</c:v>
                </c:pt>
                <c:pt idx="9">
                  <c:v>41812913.100000001</c:v>
                </c:pt>
                <c:pt idx="10">
                  <c:v>41819372.57</c:v>
                </c:pt>
                <c:pt idx="11">
                  <c:v>55604414.859999999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6-4DEE-BF80-96F5979C4049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(kum)'!$I$8:$I$19</c:f>
              <c:numCache>
                <c:formatCode>#\ ##0_ ;\-#\ ##0\ </c:formatCode>
                <c:ptCount val="12"/>
                <c:pt idx="0">
                  <c:v>3887416.6666666665</c:v>
                </c:pt>
                <c:pt idx="1">
                  <c:v>7774833.333333333</c:v>
                </c:pt>
                <c:pt idx="2">
                  <c:v>11662250</c:v>
                </c:pt>
                <c:pt idx="3">
                  <c:v>15549666.666666666</c:v>
                </c:pt>
                <c:pt idx="4">
                  <c:v>19437083.333333332</c:v>
                </c:pt>
                <c:pt idx="5">
                  <c:v>23324500</c:v>
                </c:pt>
                <c:pt idx="6">
                  <c:v>27211916.666666664</c:v>
                </c:pt>
                <c:pt idx="7">
                  <c:v>31099333.333333332</c:v>
                </c:pt>
                <c:pt idx="8">
                  <c:v>34986750</c:v>
                </c:pt>
                <c:pt idx="9">
                  <c:v>38874166.666666664</c:v>
                </c:pt>
                <c:pt idx="10">
                  <c:v>42761583.333333328</c:v>
                </c:pt>
                <c:pt idx="11">
                  <c:v>46649000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6-4DEE-BF80-96F5979C4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831872"/>
        <c:axId val="227580672"/>
      </c:lineChart>
      <c:catAx>
        <c:axId val="22683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58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580672"/>
        <c:scaling>
          <c:orientation val="minMax"/>
          <c:max val="56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831872"/>
        <c:crosses val="autoZero"/>
        <c:crossBetween val="between"/>
        <c:majorUnit val="7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1565361445783141"/>
          <c:w val="0.79256435811020409"/>
          <c:h val="0.53789892904953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(kum)'!$K$8:$K$19</c:f>
              <c:numCache>
                <c:formatCode>#\ ##0_ ;\-#\ ##0\ </c:formatCode>
                <c:ptCount val="12"/>
                <c:pt idx="0">
                  <c:v>674175.99</c:v>
                </c:pt>
                <c:pt idx="1">
                  <c:v>674175.99</c:v>
                </c:pt>
                <c:pt idx="2">
                  <c:v>3146065.5999999996</c:v>
                </c:pt>
                <c:pt idx="3">
                  <c:v>3146065.5999999996</c:v>
                </c:pt>
                <c:pt idx="4">
                  <c:v>3146065.5999999996</c:v>
                </c:pt>
                <c:pt idx="5">
                  <c:v>3146065.5999999996</c:v>
                </c:pt>
                <c:pt idx="6">
                  <c:v>7152759.1999999993</c:v>
                </c:pt>
                <c:pt idx="7">
                  <c:v>7152759.1999999993</c:v>
                </c:pt>
                <c:pt idx="8">
                  <c:v>12434104.299999999</c:v>
                </c:pt>
                <c:pt idx="9">
                  <c:v>15285520.359999999</c:v>
                </c:pt>
                <c:pt idx="10">
                  <c:v>16930885.460000001</c:v>
                </c:pt>
                <c:pt idx="11">
                  <c:v>28704959.350000001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6-4D75-AA53-6C65D39BB3BB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(kum)'!$L$8:$L$19</c:f>
              <c:numCache>
                <c:formatCode>#\ ##0_ ;\-#\ ##0\ </c:formatCode>
                <c:ptCount val="12"/>
                <c:pt idx="0">
                  <c:v>910166.66666666663</c:v>
                </c:pt>
                <c:pt idx="1">
                  <c:v>1820333.3333333333</c:v>
                </c:pt>
                <c:pt idx="2">
                  <c:v>2730500</c:v>
                </c:pt>
                <c:pt idx="3">
                  <c:v>3640666.6666666665</c:v>
                </c:pt>
                <c:pt idx="4">
                  <c:v>4550833.333333333</c:v>
                </c:pt>
                <c:pt idx="5">
                  <c:v>5461000</c:v>
                </c:pt>
                <c:pt idx="6">
                  <c:v>6371166.666666666</c:v>
                </c:pt>
                <c:pt idx="7">
                  <c:v>7281333.333333333</c:v>
                </c:pt>
                <c:pt idx="8">
                  <c:v>8191500</c:v>
                </c:pt>
                <c:pt idx="9">
                  <c:v>9101666.666666666</c:v>
                </c:pt>
                <c:pt idx="10">
                  <c:v>10011833.333333332</c:v>
                </c:pt>
                <c:pt idx="11">
                  <c:v>10922000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6-4D75-AA53-6C65D39BB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59296"/>
        <c:axId val="228082240"/>
      </c:lineChart>
      <c:catAx>
        <c:axId val="22795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08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082240"/>
        <c:scaling>
          <c:orientation val="minMax"/>
          <c:max val="3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7959296"/>
        <c:crosses val="autoZero"/>
        <c:crossBetween val="between"/>
        <c:majorUnit val="5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2015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209002677376172"/>
          <c:w val="0.78515625"/>
          <c:h val="0.53610174029451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(kum)'!$K$28:$K$39</c:f>
              <c:numCache>
                <c:formatCode>#\ ##0_ ;\-#\ ##0\ </c:formatCode>
                <c:ptCount val="12"/>
                <c:pt idx="0">
                  <c:v>408410841.5</c:v>
                </c:pt>
                <c:pt idx="1">
                  <c:v>868385911.44000006</c:v>
                </c:pt>
                <c:pt idx="2">
                  <c:v>1194807437.3099999</c:v>
                </c:pt>
                <c:pt idx="3">
                  <c:v>1614581950</c:v>
                </c:pt>
                <c:pt idx="4">
                  <c:v>2005588268.25</c:v>
                </c:pt>
                <c:pt idx="5">
                  <c:v>2452955572.8199997</c:v>
                </c:pt>
                <c:pt idx="6">
                  <c:v>3099104812.6900001</c:v>
                </c:pt>
                <c:pt idx="7">
                  <c:v>3575214140.75</c:v>
                </c:pt>
                <c:pt idx="8">
                  <c:v>4078519532.1399999</c:v>
                </c:pt>
                <c:pt idx="9">
                  <c:v>4442928917.4699993</c:v>
                </c:pt>
                <c:pt idx="10">
                  <c:v>4910168370.7799997</c:v>
                </c:pt>
                <c:pt idx="11">
                  <c:v>5558720394.0099993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2-40C6-8ADE-E3AA37B66EA0}"/>
            </c:ext>
          </c:extLst>
        </c:ser>
        <c:ser>
          <c:idx val="1"/>
          <c:order val="1"/>
          <c:tx>
            <c:v>plán</c:v>
          </c:tx>
          <c:spPr>
            <a:ln w="25400"/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(kum)'!$L$28:$L$39</c:f>
              <c:numCache>
                <c:formatCode>#\ ##0_ ;\-#\ ##0\ </c:formatCode>
                <c:ptCount val="12"/>
                <c:pt idx="0">
                  <c:v>450957583.33333331</c:v>
                </c:pt>
                <c:pt idx="1">
                  <c:v>901915166.66666663</c:v>
                </c:pt>
                <c:pt idx="2">
                  <c:v>1352872750</c:v>
                </c:pt>
                <c:pt idx="3">
                  <c:v>1803830333.3333333</c:v>
                </c:pt>
                <c:pt idx="4">
                  <c:v>2254787916.6666665</c:v>
                </c:pt>
                <c:pt idx="5">
                  <c:v>2705745500</c:v>
                </c:pt>
                <c:pt idx="6">
                  <c:v>3156703083.333333</c:v>
                </c:pt>
                <c:pt idx="7">
                  <c:v>3607660666.6666665</c:v>
                </c:pt>
                <c:pt idx="8">
                  <c:v>4058618250</c:v>
                </c:pt>
                <c:pt idx="9">
                  <c:v>4509575833.333333</c:v>
                </c:pt>
                <c:pt idx="10">
                  <c:v>4960533416.666666</c:v>
                </c:pt>
                <c:pt idx="11">
                  <c:v>5411491000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2-40C6-8ADE-E3AA37B66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60320"/>
        <c:axId val="228083968"/>
      </c:lineChart>
      <c:catAx>
        <c:axId val="22796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083968"/>
        <c:scaling>
          <c:orientation val="minMax"/>
          <c:max val="60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7960320"/>
        <c:crosses val="autoZero"/>
        <c:crossBetween val="between"/>
        <c:majorUnit val="75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18"/>
          <c:y val="0.21542712842712908"/>
          <c:w val="0.80000153186567835"/>
          <c:h val="0.6033932178932186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(měs)'!$E$28:$E$39</c:f>
              <c:numCache>
                <c:formatCode>#\ ##0_ ;\-#\ ##0\ </c:formatCode>
                <c:ptCount val="12"/>
                <c:pt idx="0">
                  <c:v>50985083.700000003</c:v>
                </c:pt>
                <c:pt idx="1">
                  <c:v>11404196</c:v>
                </c:pt>
                <c:pt idx="2">
                  <c:v>247015382.37</c:v>
                </c:pt>
                <c:pt idx="3">
                  <c:v>84179804.620000005</c:v>
                </c:pt>
                <c:pt idx="4">
                  <c:v>2868878.73</c:v>
                </c:pt>
                <c:pt idx="5">
                  <c:v>263338014.91000003</c:v>
                </c:pt>
                <c:pt idx="6">
                  <c:v>301819873.24000001</c:v>
                </c:pt>
                <c:pt idx="7">
                  <c:v>0</c:v>
                </c:pt>
                <c:pt idx="8">
                  <c:v>222181781.75999999</c:v>
                </c:pt>
                <c:pt idx="9">
                  <c:v>77161513.320000008</c:v>
                </c:pt>
                <c:pt idx="10">
                  <c:v>9722567.4199999999</c:v>
                </c:pt>
                <c:pt idx="11">
                  <c:v>268824433.44999999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6-4910-9A9A-2F7FCE2C5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312576"/>
        <c:axId val="228085696"/>
      </c:lineChart>
      <c:catAx>
        <c:axId val="2283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808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085696"/>
        <c:scaling>
          <c:orientation val="minMax"/>
          <c:max val="36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8312576"/>
        <c:crosses val="autoZero"/>
        <c:crossBetween val="between"/>
        <c:majorUnit val="40000000"/>
      </c:valAx>
    </c:plotArea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21889105339105341"/>
          <c:w val="0.80078125000000222"/>
          <c:h val="0.6103142135642152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(měs)'!$H$28:$H$39</c:f>
              <c:numCache>
                <c:formatCode>#\ ##0_ ;\-#\ ##0\ </c:formatCode>
                <c:ptCount val="12"/>
                <c:pt idx="0">
                  <c:v>236289665.94</c:v>
                </c:pt>
                <c:pt idx="1">
                  <c:v>325358421.02999997</c:v>
                </c:pt>
                <c:pt idx="2">
                  <c:v>104298921.28999999</c:v>
                </c:pt>
                <c:pt idx="3">
                  <c:v>196392702.08999997</c:v>
                </c:pt>
                <c:pt idx="4">
                  <c:v>277296435.72000003</c:v>
                </c:pt>
                <c:pt idx="5">
                  <c:v>195977564.06999999</c:v>
                </c:pt>
                <c:pt idx="6">
                  <c:v>214828941.18000001</c:v>
                </c:pt>
                <c:pt idx="7">
                  <c:v>312821360.58999997</c:v>
                </c:pt>
                <c:pt idx="8">
                  <c:v>152376226.08000001</c:v>
                </c:pt>
                <c:pt idx="9">
                  <c:v>235086538.95999998</c:v>
                </c:pt>
                <c:pt idx="10">
                  <c:v>321325216.80000001</c:v>
                </c:pt>
                <c:pt idx="11">
                  <c:v>241955945.27000001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C-4043-850F-024D4C122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19680"/>
        <c:axId val="228087424"/>
      </c:lineChart>
      <c:catAx>
        <c:axId val="2261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08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087424"/>
        <c:scaling>
          <c:orientation val="minMax"/>
          <c:max val="490000000.00000006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119680"/>
        <c:crosses val="autoZero"/>
        <c:crossBetween val="between"/>
        <c:majorUnit val="70000000"/>
        <c:minorUnit val="1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7"/>
          <c:y val="0.20553045515394924"/>
          <c:w val="0.8086643835616435"/>
          <c:h val="0.61555321285140563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(měs)'!$B$8:$B$19</c:f>
              <c:numCache>
                <c:formatCode>#\ ##0_ ;\-#\ ##0\ </c:formatCode>
                <c:ptCount val="12"/>
                <c:pt idx="0">
                  <c:v>130122871.97</c:v>
                </c:pt>
                <c:pt idx="1">
                  <c:v>113501002.88</c:v>
                </c:pt>
                <c:pt idx="2">
                  <c:v>98262648.390000001</c:v>
                </c:pt>
                <c:pt idx="3">
                  <c:v>87420419.710000008</c:v>
                </c:pt>
                <c:pt idx="4">
                  <c:v>98129667.289999992</c:v>
                </c:pt>
                <c:pt idx="5">
                  <c:v>115452085.63</c:v>
                </c:pt>
                <c:pt idx="6">
                  <c:v>118008527.78</c:v>
                </c:pt>
                <c:pt idx="7">
                  <c:v>115756195.09</c:v>
                </c:pt>
                <c:pt idx="8">
                  <c:v>112801222.95</c:v>
                </c:pt>
                <c:pt idx="9">
                  <c:v>112666577.49000001</c:v>
                </c:pt>
                <c:pt idx="10">
                  <c:v>122538934.22999999</c:v>
                </c:pt>
                <c:pt idx="11">
                  <c:v>142179149.38999999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4-435B-B414-36743D9B7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20704"/>
        <c:axId val="228089152"/>
      </c:lineChart>
      <c:catAx>
        <c:axId val="2261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08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089152"/>
        <c:scaling>
          <c:orientation val="minMax"/>
          <c:max val="18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120704"/>
        <c:crosses val="autoZero"/>
        <c:crossBetween val="between"/>
        <c:majorUnit val="2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2200" b="1" i="0" baseline="0">
                <a:solidFill>
                  <a:sysClr val="windowText" lastClr="000000"/>
                </a:solidFill>
                <a:effectLst/>
                <a:latin typeface="+mj-lt"/>
              </a:rPr>
              <a:t>Vývoj výnosů SMO z daně z příjmů FO placená poplatníky</a:t>
            </a:r>
            <a:endParaRPr lang="cs-CZ" sz="2200" b="1">
              <a:solidFill>
                <a:sysClr val="windowText" lastClr="000000"/>
              </a:solidFill>
              <a:effectLst/>
              <a:latin typeface="+mj-lt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cs-CZ" sz="1200" b="1" i="0" baseline="0">
                <a:solidFill>
                  <a:sysClr val="windowText" lastClr="000000"/>
                </a:solidFill>
                <a:effectLst/>
                <a:latin typeface="+mj-lt"/>
              </a:rPr>
              <a:t>(včetně meziročních změn v %)</a:t>
            </a:r>
            <a:endParaRPr lang="cs-CZ" sz="1200">
              <a:solidFill>
                <a:sysClr val="windowText" lastClr="000000"/>
              </a:solidFill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'Vývoj2015-24'!$A$6:$A$7</c:f>
              <c:strCache>
                <c:ptCount val="1"/>
                <c:pt idx="0">
                  <c:v>Daň z příjmů FO placená poplatníky</c:v>
                </c:pt>
              </c:strCache>
            </c:strRef>
          </c:tx>
          <c:spPr>
            <a:pattFill prst="pct90">
              <a:fgClr>
                <a:srgbClr val="003C69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003C69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A3-4B6A-9BC1-AD63DE7D61A4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E2A1A22-ADCF-47CF-ACBF-FA15A252AFD9}" type="CELLRANGE">
                      <a:rPr lang="cs-CZ"/>
                      <a:pPr>
                        <a:defRPr sz="1100" b="1">
                          <a:solidFill>
                            <a:sysClr val="windowText" lastClr="00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1A3-4B6A-9BC1-AD63DE7D61A4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BF44CB6-E27C-416D-865A-DB5F3041D44C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1A3-4B6A-9BC1-AD63DE7D61A4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902FAE5-8B37-4DA6-A23E-2CA85A37815E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1A3-4B6A-9BC1-AD63DE7D61A4}"/>
                </c:ext>
              </c:extLst>
            </c:dLbl>
            <c:dLbl>
              <c:idx val="3"/>
              <c:layout>
                <c:manualLayout>
                  <c:x val="1.3162224415926291E-3"/>
                  <c:y val="-5.979073243647234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ED38374-FF17-4130-8DAE-EE61DF8FCCCF}" type="CELLRANGE">
                      <a:rPr lang="en-US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51A3-4B6A-9BC1-AD63DE7D61A4}"/>
                </c:ext>
              </c:extLst>
            </c:dLbl>
            <c:dLbl>
              <c:idx val="4"/>
              <c:layout>
                <c:manualLayout>
                  <c:x val="-1.3162224415926291E-3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F40E3AE-2C45-4B9A-B1F1-0E3AA02C17F8}" type="CELLRANG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100" b="1">
                          <a:solidFill>
                            <a:sysClr val="windowText" lastClr="00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1A3-4B6A-9BC1-AD63DE7D61A4}"/>
                </c:ext>
              </c:extLst>
            </c:dLbl>
            <c:dLbl>
              <c:idx val="5"/>
              <c:layout>
                <c:manualLayout>
                  <c:x val="1.3162224415925326E-3"/>
                  <c:y val="-5.979073243647234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003C3FB-5A8E-470A-AEF5-E39580811188}" type="CELLRANGE">
                      <a:rPr lang="en-US">
                        <a:solidFill>
                          <a:srgbClr val="FF0000"/>
                        </a:solidFill>
                      </a:rPr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1A3-4B6A-9BC1-AD63DE7D61A4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0F1F8F-F667-4305-8BEE-3863A20C030F}" type="CELLRANGE">
                      <a:rPr lang="cs-CZ"/>
                      <a:pPr>
                        <a:defRPr sz="1100" b="1">
                          <a:solidFill>
                            <a:sysClr val="windowText" lastClr="00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1A3-4B6A-9BC1-AD63DE7D61A4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FE22211-8926-4594-A5AC-5CE95D9BA710}" type="CELLRANGE">
                      <a:rPr lang="cs-CZ"/>
                      <a:pPr>
                        <a:defRPr sz="1100" b="1">
                          <a:solidFill>
                            <a:sysClr val="windowText" lastClr="00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1A3-4B6A-9BC1-AD63DE7D61A4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8CBA4C7-030E-462F-9476-13CCFADF600B}" type="CELLRANGE">
                      <a:rPr lang="cs-CZ"/>
                      <a:pPr>
                        <a:defRPr sz="1100" b="1">
                          <a:solidFill>
                            <a:sysClr val="windowText" lastClr="00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1A3-4B6A-9BC1-AD63DE7D61A4}"/>
                </c:ext>
              </c:extLst>
            </c:dLbl>
            <c:dLbl>
              <c:idx val="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DD52A0A-445C-498B-A566-7AF8C86DB4BE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1A3-4B6A-9BC1-AD63DE7D61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'Vývoj2015-24'!$R$3:$AA$3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'Vývoj2015-24'!$R$6:$AA$6</c:f>
              <c:numCache>
                <c:formatCode>#,##0</c:formatCode>
                <c:ptCount val="10"/>
                <c:pt idx="0">
                  <c:v>84309374.209999993</c:v>
                </c:pt>
                <c:pt idx="1">
                  <c:v>69993741.700000003</c:v>
                </c:pt>
                <c:pt idx="2">
                  <c:v>56891091.93</c:v>
                </c:pt>
                <c:pt idx="3">
                  <c:v>41425996.219999999</c:v>
                </c:pt>
                <c:pt idx="4">
                  <c:v>54276767.850000001</c:v>
                </c:pt>
                <c:pt idx="5">
                  <c:v>30104455.289999999</c:v>
                </c:pt>
                <c:pt idx="6">
                  <c:v>89346402.209999993</c:v>
                </c:pt>
                <c:pt idx="7">
                  <c:v>133516350.73999999</c:v>
                </c:pt>
                <c:pt idx="8">
                  <c:v>141145183.44</c:v>
                </c:pt>
                <c:pt idx="9">
                  <c:v>136349858.97999999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'Vývoj2015-24'!$R$7:$AA$7</c15:f>
                <c15:dlblRangeCache>
                  <c:ptCount val="10"/>
                  <c:pt idx="0">
                    <c:v>74,44 %</c:v>
                  </c:pt>
                  <c:pt idx="1">
                    <c:v>-16,98 %</c:v>
                  </c:pt>
                  <c:pt idx="2">
                    <c:v>-18,72 %</c:v>
                  </c:pt>
                  <c:pt idx="3">
                    <c:v>-27,18 %</c:v>
                  </c:pt>
                  <c:pt idx="4">
                    <c:v>31,02 %</c:v>
                  </c:pt>
                  <c:pt idx="5">
                    <c:v>-44,54 %</c:v>
                  </c:pt>
                  <c:pt idx="6">
                    <c:v>196,79 %</c:v>
                  </c:pt>
                  <c:pt idx="7">
                    <c:v>49,44 %</c:v>
                  </c:pt>
                  <c:pt idx="8">
                    <c:v>5,71 %</c:v>
                  </c:pt>
                  <c:pt idx="9">
                    <c:v>-3,40 %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51A3-4B6A-9BC1-AD63DE7D6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5587328"/>
        <c:axId val="216156992"/>
      </c:barChart>
      <c:catAx>
        <c:axId val="21558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156992"/>
        <c:crosses val="autoZero"/>
        <c:auto val="1"/>
        <c:lblAlgn val="ctr"/>
        <c:lblOffset val="100"/>
        <c:noMultiLvlLbl val="0"/>
      </c:catAx>
      <c:valAx>
        <c:axId val="216156992"/>
        <c:scaling>
          <c:orientation val="minMax"/>
          <c:max val="18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5587328"/>
        <c:crosses val="autoZero"/>
        <c:crossBetween val="between"/>
        <c:majorUnit val="20000000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100" b="1" i="0" u="none" strike="noStrike" kern="1200" cap="small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cs-CZ" baseline="0"/>
                    <a:t>Miliony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6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20626406926406926"/>
          <c:w val="0.81108523592085235"/>
          <c:h val="0.6263008658008655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(měs)'!$E$8:$E$19</c:f>
              <c:numCache>
                <c:formatCode>#\ ##0_ ;\-#\ ##0\ </c:formatCode>
                <c:ptCount val="12"/>
                <c:pt idx="0">
                  <c:v>8699484.3900000006</c:v>
                </c:pt>
                <c:pt idx="1">
                  <c:v>7494302.8499999996</c:v>
                </c:pt>
                <c:pt idx="2">
                  <c:v>6488136.9399999995</c:v>
                </c:pt>
                <c:pt idx="3">
                  <c:v>5772240.6099999994</c:v>
                </c:pt>
                <c:pt idx="4">
                  <c:v>6479356.3599999994</c:v>
                </c:pt>
                <c:pt idx="5">
                  <c:v>8108439.5500000007</c:v>
                </c:pt>
                <c:pt idx="6">
                  <c:v>8234319.0899999999</c:v>
                </c:pt>
                <c:pt idx="7">
                  <c:v>7643209.8799999999</c:v>
                </c:pt>
                <c:pt idx="8">
                  <c:v>8280839.8799999999</c:v>
                </c:pt>
                <c:pt idx="9">
                  <c:v>7551246.0899999999</c:v>
                </c:pt>
                <c:pt idx="10">
                  <c:v>8198367.25</c:v>
                </c:pt>
                <c:pt idx="11">
                  <c:v>9512379.7899999991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E-4820-9336-4043FDE62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21216"/>
        <c:axId val="227386496"/>
      </c:lineChart>
      <c:catAx>
        <c:axId val="2261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7386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386496"/>
        <c:scaling>
          <c:orientation val="minMax"/>
          <c:max val="12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6121216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106" footer="0.49212598450000106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6"/>
          <c:y val="0.24001948051948155"/>
          <c:w val="0.78669351101309648"/>
          <c:h val="0.5897745310245309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(měs)'!$B$28:$B$39</c:f>
              <c:numCache>
                <c:formatCode>#\ ##0_ ;\-#\ ##0\ </c:formatCode>
                <c:ptCount val="12"/>
                <c:pt idx="0">
                  <c:v>10862855.73</c:v>
                </c:pt>
                <c:pt idx="1">
                  <c:v>16740959.439999999</c:v>
                </c:pt>
                <c:pt idx="2">
                  <c:v>8585055.3100000005</c:v>
                </c:pt>
                <c:pt idx="3">
                  <c:v>10507916.629999999</c:v>
                </c:pt>
                <c:pt idx="4">
                  <c:v>9830897.9600000009</c:v>
                </c:pt>
                <c:pt idx="5">
                  <c:v>11932683.859999999</c:v>
                </c:pt>
                <c:pt idx="6">
                  <c:v>15030150.32</c:v>
                </c:pt>
                <c:pt idx="7">
                  <c:v>14600507.08</c:v>
                </c:pt>
                <c:pt idx="8">
                  <c:v>15856162</c:v>
                </c:pt>
                <c:pt idx="9">
                  <c:v>13031218.350000001</c:v>
                </c:pt>
                <c:pt idx="10">
                  <c:v>11223955.530000001</c:v>
                </c:pt>
                <c:pt idx="11">
                  <c:v>10783670.359999999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0-446C-8514-2D4F6E308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22240"/>
        <c:axId val="227388224"/>
      </c:lineChart>
      <c:catAx>
        <c:axId val="2261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38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388224"/>
        <c:scaling>
          <c:orientation val="minMax"/>
          <c:max val="24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122240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23590930388219639"/>
          <c:w val="0.8294133528901515"/>
          <c:h val="0.592323293172690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(měs)'!$H$8:$H$19</c:f>
              <c:numCache>
                <c:formatCode>#\ ##0_ ;\-#\ ##0\ </c:formatCode>
                <c:ptCount val="12"/>
                <c:pt idx="0">
                  <c:v>1587987.31</c:v>
                </c:pt>
                <c:pt idx="1">
                  <c:v>5994.6</c:v>
                </c:pt>
                <c:pt idx="2">
                  <c:v>946005.23</c:v>
                </c:pt>
                <c:pt idx="3">
                  <c:v>329088.33999999997</c:v>
                </c:pt>
                <c:pt idx="4">
                  <c:v>3237.02</c:v>
                </c:pt>
                <c:pt idx="5">
                  <c:v>15688.18</c:v>
                </c:pt>
                <c:pt idx="6">
                  <c:v>111248.97</c:v>
                </c:pt>
                <c:pt idx="7">
                  <c:v>7076736</c:v>
                </c:pt>
                <c:pt idx="8">
                  <c:v>12790935.560000001</c:v>
                </c:pt>
                <c:pt idx="9">
                  <c:v>5516792.7699999996</c:v>
                </c:pt>
                <c:pt idx="10">
                  <c:v>8727.2999999999993</c:v>
                </c:pt>
                <c:pt idx="11">
                  <c:v>3734333.0200000005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E-4E0C-9057-9045F7CC5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23264"/>
        <c:axId val="227389952"/>
      </c:lineChart>
      <c:catAx>
        <c:axId val="2261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38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389952"/>
        <c:scaling>
          <c:orientation val="minMax"/>
          <c:max val="21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123264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5390656565656661"/>
          <c:w val="0.79256435811020409"/>
          <c:h val="0.57615187590187777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(měs)'!$K$8:$K$19</c:f>
              <c:numCache>
                <c:formatCode>#\ ##0_ ;\-#\ ##0\ </c:formatCode>
                <c:ptCount val="12"/>
                <c:pt idx="0">
                  <c:v>3632763.33</c:v>
                </c:pt>
                <c:pt idx="1">
                  <c:v>1397532.74</c:v>
                </c:pt>
                <c:pt idx="2">
                  <c:v>2295063.34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6628334.7800000003</c:v>
                </c:pt>
                <c:pt idx="7">
                  <c:v>0</c:v>
                </c:pt>
                <c:pt idx="8">
                  <c:v>5685799.21</c:v>
                </c:pt>
                <c:pt idx="9">
                  <c:v>3357253.27</c:v>
                </c:pt>
                <c:pt idx="10">
                  <c:v>1694849.03</c:v>
                </c:pt>
                <c:pt idx="11">
                  <c:v>13175371.699999999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2-4D32-9729-D57DC9FC0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712960"/>
        <c:axId val="227391680"/>
      </c:lineChart>
      <c:catAx>
        <c:axId val="2287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39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391680"/>
        <c:scaling>
          <c:orientation val="minMax"/>
          <c:max val="14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8712960"/>
        <c:crosses val="autoZero"/>
        <c:crossBetween val="between"/>
        <c:majorUnit val="20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2016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3790160642570291"/>
          <c:w val="0.78515625"/>
          <c:h val="0.5956064257028097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(měs)'!$K$28:$K$39</c:f>
              <c:numCache>
                <c:formatCode>#\ ##0_ ;\-#\ ##0\ </c:formatCode>
                <c:ptCount val="12"/>
                <c:pt idx="0">
                  <c:v>442180712.37</c:v>
                </c:pt>
                <c:pt idx="1">
                  <c:v>475902409.53999996</c:v>
                </c:pt>
                <c:pt idx="2">
                  <c:v>467891212.87</c:v>
                </c:pt>
                <c:pt idx="3">
                  <c:v>384602172</c:v>
                </c:pt>
                <c:pt idx="4">
                  <c:v>394608473.08000004</c:v>
                </c:pt>
                <c:pt idx="5">
                  <c:v>594824476.20000005</c:v>
                </c:pt>
                <c:pt idx="6">
                  <c:v>664661395.36000001</c:v>
                </c:pt>
                <c:pt idx="7">
                  <c:v>457898008.63999999</c:v>
                </c:pt>
                <c:pt idx="8">
                  <c:v>529972967.44000006</c:v>
                </c:pt>
                <c:pt idx="9">
                  <c:v>454371140.25</c:v>
                </c:pt>
                <c:pt idx="10">
                  <c:v>474712617.55999994</c:v>
                </c:pt>
                <c:pt idx="11">
                  <c:v>690165282.98000002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3-4811-989C-9C5EA2910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713984"/>
        <c:axId val="228597760"/>
      </c:lineChart>
      <c:catAx>
        <c:axId val="2287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59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597760"/>
        <c:scaling>
          <c:orientation val="minMax"/>
          <c:max val="72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8713984"/>
        <c:crosses val="autoZero"/>
        <c:crossBetween val="between"/>
        <c:majorUnit val="8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18"/>
          <c:y val="0.19821849593495941"/>
          <c:w val="0.80000153186567835"/>
          <c:h val="0.53886077235772367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(kum)'!$E$28:$E$39</c:f>
              <c:numCache>
                <c:formatCode>#\ ##0_ ;\-#\ ##0\ </c:formatCode>
                <c:ptCount val="12"/>
                <c:pt idx="0">
                  <c:v>50985083.700000003</c:v>
                </c:pt>
                <c:pt idx="1">
                  <c:v>62389279.700000003</c:v>
                </c:pt>
                <c:pt idx="2">
                  <c:v>309404662.06999999</c:v>
                </c:pt>
                <c:pt idx="3">
                  <c:v>393584466.69</c:v>
                </c:pt>
                <c:pt idx="4">
                  <c:v>396453345.42000002</c:v>
                </c:pt>
                <c:pt idx="5">
                  <c:v>659791360.33000004</c:v>
                </c:pt>
                <c:pt idx="6">
                  <c:v>961611233.57000005</c:v>
                </c:pt>
                <c:pt idx="7">
                  <c:v>961611233.57000005</c:v>
                </c:pt>
                <c:pt idx="8">
                  <c:v>1183793015.3299999</c:v>
                </c:pt>
                <c:pt idx="9">
                  <c:v>1260954528.6499999</c:v>
                </c:pt>
                <c:pt idx="10">
                  <c:v>1270677096.0699999</c:v>
                </c:pt>
                <c:pt idx="11">
                  <c:v>1539501529.52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E-4843-B8D3-2E79DADA2E96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(kum)'!$F$28:$F$39</c:f>
              <c:numCache>
                <c:formatCode>#\ ##0_ ;\-#\ ##0\ </c:formatCode>
                <c:ptCount val="12"/>
                <c:pt idx="0">
                  <c:v>119640083.33333333</c:v>
                </c:pt>
                <c:pt idx="1">
                  <c:v>239280166.66666666</c:v>
                </c:pt>
                <c:pt idx="2">
                  <c:v>358920250</c:v>
                </c:pt>
                <c:pt idx="3">
                  <c:v>478560333.33333331</c:v>
                </c:pt>
                <c:pt idx="4">
                  <c:v>598200416.66666663</c:v>
                </c:pt>
                <c:pt idx="5">
                  <c:v>717840500</c:v>
                </c:pt>
                <c:pt idx="6">
                  <c:v>837480583.33333325</c:v>
                </c:pt>
                <c:pt idx="7">
                  <c:v>957120666.66666663</c:v>
                </c:pt>
                <c:pt idx="8">
                  <c:v>1076760750</c:v>
                </c:pt>
                <c:pt idx="9">
                  <c:v>1196400833.3333333</c:v>
                </c:pt>
                <c:pt idx="10">
                  <c:v>1316040916.6666665</c:v>
                </c:pt>
                <c:pt idx="11">
                  <c:v>1435681000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E-4843-B8D3-2E79DADA2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036544"/>
        <c:axId val="228599488"/>
      </c:lineChart>
      <c:catAx>
        <c:axId val="2290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8599488"/>
        <c:crosses val="autoZero"/>
        <c:auto val="1"/>
        <c:lblAlgn val="ctr"/>
        <c:lblOffset val="100"/>
        <c:noMultiLvlLbl val="0"/>
      </c:catAx>
      <c:valAx>
        <c:axId val="228599488"/>
        <c:scaling>
          <c:orientation val="minMax"/>
          <c:max val="16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9036544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b="1" i="0" baseline="0"/>
          </a:pPr>
          <a:endParaRPr lang="cs-CZ"/>
        </a:p>
      </c:txPr>
    </c:legend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19338888888888889"/>
          <c:w val="0.80078125000000222"/>
          <c:h val="0.555059906291835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(kum)'!$H$28:$H$39</c:f>
              <c:numCache>
                <c:formatCode>#\ ##0_ ;\-#\ ##0\ </c:formatCode>
                <c:ptCount val="12"/>
                <c:pt idx="0">
                  <c:v>236289665.94</c:v>
                </c:pt>
                <c:pt idx="1">
                  <c:v>561648086.97000003</c:v>
                </c:pt>
                <c:pt idx="2">
                  <c:v>665947008.25999999</c:v>
                </c:pt>
                <c:pt idx="3">
                  <c:v>862339710.3499999</c:v>
                </c:pt>
                <c:pt idx="4">
                  <c:v>1139636146.0699999</c:v>
                </c:pt>
                <c:pt idx="5">
                  <c:v>1335613710.1399999</c:v>
                </c:pt>
                <c:pt idx="6">
                  <c:v>1550442651.3199999</c:v>
                </c:pt>
                <c:pt idx="7">
                  <c:v>1863264011.9099998</c:v>
                </c:pt>
                <c:pt idx="8">
                  <c:v>2015640237.9899998</c:v>
                </c:pt>
                <c:pt idx="9">
                  <c:v>2250726776.9499998</c:v>
                </c:pt>
                <c:pt idx="10">
                  <c:v>2572051993.75</c:v>
                </c:pt>
                <c:pt idx="11">
                  <c:v>2814007939.02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3-42A8-820C-0257C32C9896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(kum)'!$I$28:$I$39</c:f>
              <c:numCache>
                <c:formatCode>#\ ##0_ ;\-#\ ##0\ </c:formatCode>
                <c:ptCount val="12"/>
                <c:pt idx="0">
                  <c:v>222172000</c:v>
                </c:pt>
                <c:pt idx="1">
                  <c:v>444344000</c:v>
                </c:pt>
                <c:pt idx="2">
                  <c:v>666516000</c:v>
                </c:pt>
                <c:pt idx="3">
                  <c:v>888688000</c:v>
                </c:pt>
                <c:pt idx="4">
                  <c:v>1110860000</c:v>
                </c:pt>
                <c:pt idx="5">
                  <c:v>1333032000</c:v>
                </c:pt>
                <c:pt idx="6">
                  <c:v>1555204000</c:v>
                </c:pt>
                <c:pt idx="7">
                  <c:v>1777376000</c:v>
                </c:pt>
                <c:pt idx="8">
                  <c:v>1999548000</c:v>
                </c:pt>
                <c:pt idx="9">
                  <c:v>2221720000</c:v>
                </c:pt>
                <c:pt idx="10">
                  <c:v>2443892000</c:v>
                </c:pt>
                <c:pt idx="11">
                  <c:v>2666064000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3-42A8-820C-0257C32C9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038080"/>
        <c:axId val="228601216"/>
      </c:lineChart>
      <c:catAx>
        <c:axId val="2290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/>
            </a:pPr>
            <a:endParaRPr lang="cs-CZ"/>
          </a:p>
        </c:txPr>
        <c:crossAx val="228601216"/>
        <c:crosses val="autoZero"/>
        <c:auto val="1"/>
        <c:lblAlgn val="ctr"/>
        <c:lblOffset val="100"/>
        <c:noMultiLvlLbl val="0"/>
      </c:catAx>
      <c:valAx>
        <c:axId val="228601216"/>
        <c:scaling>
          <c:orientation val="minMax"/>
          <c:max val="32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038080"/>
        <c:crosses val="autoZero"/>
        <c:crossBetween val="between"/>
        <c:majorUnit val="400000000"/>
        <c:min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7"/>
          <c:y val="0.18427878179384224"/>
          <c:w val="0.8086643835616435"/>
          <c:h val="0.5475478580990628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(kum)'!$B$8:$B$19</c:f>
              <c:numCache>
                <c:formatCode>#\ ##0_ ;\-#\ ##0\ </c:formatCode>
                <c:ptCount val="12"/>
                <c:pt idx="0">
                  <c:v>130122871.97</c:v>
                </c:pt>
                <c:pt idx="1">
                  <c:v>243623874.84999999</c:v>
                </c:pt>
                <c:pt idx="2">
                  <c:v>341886523.24000001</c:v>
                </c:pt>
                <c:pt idx="3">
                  <c:v>429306942.95000005</c:v>
                </c:pt>
                <c:pt idx="4">
                  <c:v>527436610.24000001</c:v>
                </c:pt>
                <c:pt idx="5">
                  <c:v>642888695.87</c:v>
                </c:pt>
                <c:pt idx="6">
                  <c:v>760897223.64999998</c:v>
                </c:pt>
                <c:pt idx="7">
                  <c:v>876653418.74000001</c:v>
                </c:pt>
                <c:pt idx="8">
                  <c:v>989454641.69000006</c:v>
                </c:pt>
                <c:pt idx="9">
                  <c:v>1102121219.1800001</c:v>
                </c:pt>
                <c:pt idx="10">
                  <c:v>1224660153.4100001</c:v>
                </c:pt>
                <c:pt idx="11">
                  <c:v>1366839302.8000002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8-40E1-8B46-793D8E8F21E8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(kum)'!$C$8:$C$19</c:f>
              <c:numCache>
                <c:formatCode>#\ ##0_ ;\-#\ ##0\ </c:formatCode>
                <c:ptCount val="12"/>
                <c:pt idx="0">
                  <c:v>102498000</c:v>
                </c:pt>
                <c:pt idx="1">
                  <c:v>204996000</c:v>
                </c:pt>
                <c:pt idx="2">
                  <c:v>307494000</c:v>
                </c:pt>
                <c:pt idx="3">
                  <c:v>409992000</c:v>
                </c:pt>
                <c:pt idx="4">
                  <c:v>512490000</c:v>
                </c:pt>
                <c:pt idx="5">
                  <c:v>614988000</c:v>
                </c:pt>
                <c:pt idx="6">
                  <c:v>717486000</c:v>
                </c:pt>
                <c:pt idx="7">
                  <c:v>819984000</c:v>
                </c:pt>
                <c:pt idx="8">
                  <c:v>922482000</c:v>
                </c:pt>
                <c:pt idx="9">
                  <c:v>1024980000</c:v>
                </c:pt>
                <c:pt idx="10">
                  <c:v>1127478000</c:v>
                </c:pt>
                <c:pt idx="11">
                  <c:v>1229976000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8-40E1-8B46-793D8E8F2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28992"/>
        <c:axId val="228602944"/>
      </c:lineChart>
      <c:catAx>
        <c:axId val="22702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60000" vert="horz"/>
          <a:lstStyle/>
          <a:p>
            <a:pPr>
              <a:defRPr/>
            </a:pPr>
            <a:endParaRPr lang="cs-CZ"/>
          </a:p>
        </c:txPr>
        <c:crossAx val="228602944"/>
        <c:crosses val="autoZero"/>
        <c:auto val="1"/>
        <c:lblAlgn val="ctr"/>
        <c:lblOffset val="100"/>
        <c:noMultiLvlLbl val="0"/>
      </c:catAx>
      <c:valAx>
        <c:axId val="228602944"/>
        <c:scaling>
          <c:orientation val="minMax"/>
          <c:max val="14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7028992"/>
        <c:crosses val="autoZero"/>
        <c:crossBetween val="between"/>
        <c:majorUnit val="20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6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19776338688085712"/>
          <c:w val="0.81108523592085235"/>
          <c:h val="0.55829551539491362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(kum)'!$E$8:$E$19</c:f>
              <c:numCache>
                <c:formatCode>#\ ##0_ ;\-#\ ##0\ </c:formatCode>
                <c:ptCount val="12"/>
                <c:pt idx="0">
                  <c:v>8699484.3900000006</c:v>
                </c:pt>
                <c:pt idx="1">
                  <c:v>16193787.24</c:v>
                </c:pt>
                <c:pt idx="2">
                  <c:v>22681924.18</c:v>
                </c:pt>
                <c:pt idx="3">
                  <c:v>28454164.789999999</c:v>
                </c:pt>
                <c:pt idx="4">
                  <c:v>34933521.149999999</c:v>
                </c:pt>
                <c:pt idx="5">
                  <c:v>43041960.700000003</c:v>
                </c:pt>
                <c:pt idx="6">
                  <c:v>51276279.790000007</c:v>
                </c:pt>
                <c:pt idx="7">
                  <c:v>58919489.670000009</c:v>
                </c:pt>
                <c:pt idx="8">
                  <c:v>67200329.550000012</c:v>
                </c:pt>
                <c:pt idx="9">
                  <c:v>74751575.640000015</c:v>
                </c:pt>
                <c:pt idx="10">
                  <c:v>82949942.890000015</c:v>
                </c:pt>
                <c:pt idx="11">
                  <c:v>92462322.680000007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2-44A8-A996-947FCA8A4A83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(kum)'!$F$8:$F$19</c:f>
              <c:numCache>
                <c:formatCode>#\ ##0_ ;\-#\ ##0\ </c:formatCode>
                <c:ptCount val="12"/>
                <c:pt idx="0">
                  <c:v>7177083.333333333</c:v>
                </c:pt>
                <c:pt idx="1">
                  <c:v>14354166.666666666</c:v>
                </c:pt>
                <c:pt idx="2">
                  <c:v>21531250</c:v>
                </c:pt>
                <c:pt idx="3">
                  <c:v>28708333.333333332</c:v>
                </c:pt>
                <c:pt idx="4">
                  <c:v>35885416.666666664</c:v>
                </c:pt>
                <c:pt idx="5">
                  <c:v>43062500</c:v>
                </c:pt>
                <c:pt idx="6">
                  <c:v>50239583.333333328</c:v>
                </c:pt>
                <c:pt idx="7">
                  <c:v>57416666.666666664</c:v>
                </c:pt>
                <c:pt idx="8">
                  <c:v>64593750</c:v>
                </c:pt>
                <c:pt idx="9">
                  <c:v>71770833.333333328</c:v>
                </c:pt>
                <c:pt idx="10">
                  <c:v>78947916.666666657</c:v>
                </c:pt>
                <c:pt idx="11">
                  <c:v>86125000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2-44A8-A996-947FCA8A4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30016"/>
        <c:axId val="228604672"/>
      </c:lineChart>
      <c:catAx>
        <c:axId val="22703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860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604672"/>
        <c:scaling>
          <c:orientation val="minMax"/>
          <c:max val="105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7030016"/>
        <c:crosses val="autoZero"/>
        <c:crossBetween val="between"/>
        <c:majorUnit val="15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106" footer="0.49212598450000106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6"/>
          <c:y val="0.19751606425702842"/>
          <c:w val="0.78669351101309648"/>
          <c:h val="0.5472710843373495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(kum)'!$B$28:$B$39</c:f>
              <c:numCache>
                <c:formatCode>#\ ##0_ ;\-#\ ##0\ </c:formatCode>
                <c:ptCount val="12"/>
                <c:pt idx="0">
                  <c:v>10862855.73</c:v>
                </c:pt>
                <c:pt idx="1">
                  <c:v>27603815.170000002</c:v>
                </c:pt>
                <c:pt idx="2">
                  <c:v>36188870.480000004</c:v>
                </c:pt>
                <c:pt idx="3">
                  <c:v>46696787.109999999</c:v>
                </c:pt>
                <c:pt idx="4">
                  <c:v>56527685.07</c:v>
                </c:pt>
                <c:pt idx="5">
                  <c:v>68460368.930000007</c:v>
                </c:pt>
                <c:pt idx="6">
                  <c:v>83490519.25</c:v>
                </c:pt>
                <c:pt idx="7">
                  <c:v>98091026.329999998</c:v>
                </c:pt>
                <c:pt idx="8">
                  <c:v>113947188.33</c:v>
                </c:pt>
                <c:pt idx="9">
                  <c:v>126978406.68000001</c:v>
                </c:pt>
                <c:pt idx="10">
                  <c:v>138202362.21000001</c:v>
                </c:pt>
                <c:pt idx="11">
                  <c:v>148986032.56999999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4-42E6-8DA5-9A3358EE440E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(kum)'!$C$28:$C$39</c:f>
              <c:numCache>
                <c:formatCode>#\ ##0_ ;\-#\ ##0\ </c:formatCode>
                <c:ptCount val="12"/>
                <c:pt idx="0">
                  <c:v>12579750</c:v>
                </c:pt>
                <c:pt idx="1">
                  <c:v>25159500</c:v>
                </c:pt>
                <c:pt idx="2">
                  <c:v>37739250</c:v>
                </c:pt>
                <c:pt idx="3">
                  <c:v>50319000</c:v>
                </c:pt>
                <c:pt idx="4">
                  <c:v>62898750</c:v>
                </c:pt>
                <c:pt idx="5">
                  <c:v>75478500</c:v>
                </c:pt>
                <c:pt idx="6">
                  <c:v>88058250</c:v>
                </c:pt>
                <c:pt idx="7">
                  <c:v>100638000</c:v>
                </c:pt>
                <c:pt idx="8">
                  <c:v>113217750</c:v>
                </c:pt>
                <c:pt idx="9">
                  <c:v>125797500</c:v>
                </c:pt>
                <c:pt idx="10">
                  <c:v>138377250</c:v>
                </c:pt>
                <c:pt idx="11">
                  <c:v>150957000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4-42E6-8DA5-9A3358EE4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30528"/>
        <c:axId val="227623488"/>
      </c:lineChart>
      <c:catAx>
        <c:axId val="2270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62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623488"/>
        <c:scaling>
          <c:orientation val="minMax"/>
          <c:max val="16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7030528"/>
        <c:crosses val="autoZero"/>
        <c:crossBetween val="between"/>
        <c:majorUnit val="2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2200" b="1" i="0" baseline="0">
                <a:solidFill>
                  <a:sysClr val="windowText" lastClr="000000"/>
                </a:solidFill>
                <a:effectLst/>
                <a:latin typeface="+mj-lt"/>
              </a:rPr>
              <a:t>Vývoj výnosů SMO z daně z příjmů FO vybíraná srážkou</a:t>
            </a:r>
            <a:endParaRPr lang="cs-CZ" sz="2200" b="1">
              <a:solidFill>
                <a:sysClr val="windowText" lastClr="000000"/>
              </a:solidFill>
              <a:effectLst/>
              <a:latin typeface="+mj-lt"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ysClr val="windowText" lastClr="000000"/>
                </a:solidFill>
                <a:effectLst/>
                <a:latin typeface="+mj-lt"/>
              </a:rPr>
              <a:t>(včetně meziročních změn v %)</a:t>
            </a:r>
            <a:endParaRPr lang="cs-CZ" sz="1200">
              <a:solidFill>
                <a:sysClr val="windowText" lastClr="000000"/>
              </a:solidFill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'Vývoj2015-24'!$A$8:$A$9</c:f>
              <c:strCache>
                <c:ptCount val="1"/>
                <c:pt idx="0">
                  <c:v>Daň z příjmů FO vybíraná srážkou</c:v>
                </c:pt>
              </c:strCache>
            </c:strRef>
          </c:tx>
          <c:spPr>
            <a:pattFill prst="pct90">
              <a:fgClr>
                <a:srgbClr val="003C69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9BAB4F5-9AAB-4BE0-9AB4-2B6EA3565EEB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B1D-492F-BB76-EDB8D192C21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7A5CCFA-5D6E-4E8A-A316-65DE71AD4F2D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B1D-492F-BB76-EDB8D192C21A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ECCFBD8-2E33-437C-9B62-2DF2139BA048}" type="CELLRANGE">
                      <a:rPr lang="cs-CZ"/>
                      <a:pPr>
                        <a:defRPr sz="1100" b="1" i="0" u="none" strike="noStrike" kern="1200" baseline="0">
                          <a:solidFill>
                            <a:srgbClr val="FF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B1D-492F-BB76-EDB8D192C21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4DFE9ED-2C8D-45CD-B0DF-34274BA18035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B1D-492F-BB76-EDB8D192C21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48549BF-2E4B-4A94-8FE0-D9C38744B5F1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B1D-492F-BB76-EDB8D192C21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7CEA27B-DFDC-4FDF-BA86-261056DA4F4C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B1D-492F-BB76-EDB8D192C21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48AD5CB-5BF4-41C6-8BCF-DC822C81F19E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B1D-492F-BB76-EDB8D192C21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3B5C8E8-D739-4B57-91FE-3316AE152A22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B1D-492F-BB76-EDB8D192C21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87836A3-0860-460E-BEA9-C3B055068291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B1D-492F-BB76-EDB8D192C21A}"/>
                </c:ext>
              </c:extLst>
            </c:dLbl>
            <c:dLbl>
              <c:idx val="9"/>
              <c:layout>
                <c:manualLayout>
                  <c:x val="0"/>
                  <c:y val="5.9790732436471985E-3"/>
                </c:manualLayout>
              </c:layout>
              <c:tx>
                <c:rich>
                  <a:bodyPr/>
                  <a:lstStyle/>
                  <a:p>
                    <a:fld id="{7D7F4F5B-32BD-45C9-ADFE-F456CD2306A1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B1D-492F-BB76-EDB8D192C2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'Vývoj2015-24'!$R$3:$AA$3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'Vývoj2015-24'!$R$8:$AA$8</c:f>
              <c:numCache>
                <c:formatCode>#,##0</c:formatCode>
                <c:ptCount val="10"/>
                <c:pt idx="0">
                  <c:v>147290158.72</c:v>
                </c:pt>
                <c:pt idx="1">
                  <c:v>148986032.56999999</c:v>
                </c:pt>
                <c:pt idx="2">
                  <c:v>147150464.68000001</c:v>
                </c:pt>
                <c:pt idx="3">
                  <c:v>163583863.15000001</c:v>
                </c:pt>
                <c:pt idx="4">
                  <c:v>183041506.52000001</c:v>
                </c:pt>
                <c:pt idx="5">
                  <c:v>183637002.17999998</c:v>
                </c:pt>
                <c:pt idx="6">
                  <c:v>231727000.72999999</c:v>
                </c:pt>
                <c:pt idx="7">
                  <c:v>296800935.11000001</c:v>
                </c:pt>
                <c:pt idx="8">
                  <c:v>407336011.3499999</c:v>
                </c:pt>
                <c:pt idx="9">
                  <c:v>423976229.88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'Vývoj2015-24'!$R$9:$AA$9</c15:f>
                <c15:dlblRangeCache>
                  <c:ptCount val="10"/>
                  <c:pt idx="0">
                    <c:v>6,35 %</c:v>
                  </c:pt>
                  <c:pt idx="1">
                    <c:v>1,15 %</c:v>
                  </c:pt>
                  <c:pt idx="2">
                    <c:v>-1,23 %</c:v>
                  </c:pt>
                  <c:pt idx="3">
                    <c:v>11,17 %</c:v>
                  </c:pt>
                  <c:pt idx="4">
                    <c:v>11,89 %</c:v>
                  </c:pt>
                  <c:pt idx="5">
                    <c:v>0,33 %</c:v>
                  </c:pt>
                  <c:pt idx="6">
                    <c:v>26,19 %</c:v>
                  </c:pt>
                  <c:pt idx="7">
                    <c:v>28,08 %</c:v>
                  </c:pt>
                  <c:pt idx="8">
                    <c:v>37,24 %</c:v>
                  </c:pt>
                  <c:pt idx="9">
                    <c:v>4,09 %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FB1D-492F-BB76-EDB8D192C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6288768"/>
        <c:axId val="216159296"/>
      </c:barChart>
      <c:catAx>
        <c:axId val="21628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159296"/>
        <c:crosses val="autoZero"/>
        <c:auto val="1"/>
        <c:lblAlgn val="ctr"/>
        <c:lblOffset val="100"/>
        <c:noMultiLvlLbl val="0"/>
      </c:catAx>
      <c:valAx>
        <c:axId val="216159296"/>
        <c:scaling>
          <c:orientation val="minMax"/>
          <c:max val="4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288768"/>
        <c:crosses val="autoZero"/>
        <c:crossBetween val="between"/>
        <c:majorUnit val="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18915562248995985"/>
          <c:w val="0.8294133528901515"/>
          <c:h val="0.56257095046854189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(kum)'!$H$8:$H$19</c:f>
              <c:numCache>
                <c:formatCode>#\ ##0_ ;\-#\ ##0\ </c:formatCode>
                <c:ptCount val="12"/>
                <c:pt idx="0">
                  <c:v>1587987.31</c:v>
                </c:pt>
                <c:pt idx="1">
                  <c:v>1593981.9100000001</c:v>
                </c:pt>
                <c:pt idx="2">
                  <c:v>2539987.14</c:v>
                </c:pt>
                <c:pt idx="3">
                  <c:v>2869075.48</c:v>
                </c:pt>
                <c:pt idx="4">
                  <c:v>2872312.5</c:v>
                </c:pt>
                <c:pt idx="5">
                  <c:v>2888000.68</c:v>
                </c:pt>
                <c:pt idx="6">
                  <c:v>2999249.6500000004</c:v>
                </c:pt>
                <c:pt idx="7">
                  <c:v>10075985.65</c:v>
                </c:pt>
                <c:pt idx="8">
                  <c:v>22866921.210000001</c:v>
                </c:pt>
                <c:pt idx="9">
                  <c:v>28383713.98</c:v>
                </c:pt>
                <c:pt idx="10">
                  <c:v>28392441.280000001</c:v>
                </c:pt>
                <c:pt idx="11">
                  <c:v>32126774.300000001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5-4A6D-B703-981D5D77C593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(kum)'!$I$8:$I$19</c:f>
              <c:numCache>
                <c:formatCode>#\ ##0_ ;\-#\ ##0\ </c:formatCode>
                <c:ptCount val="12"/>
                <c:pt idx="0">
                  <c:v>3370333.3333333335</c:v>
                </c:pt>
                <c:pt idx="1">
                  <c:v>6740666.666666667</c:v>
                </c:pt>
                <c:pt idx="2">
                  <c:v>10111000</c:v>
                </c:pt>
                <c:pt idx="3">
                  <c:v>13481333.333333334</c:v>
                </c:pt>
                <c:pt idx="4">
                  <c:v>16851666.666666668</c:v>
                </c:pt>
                <c:pt idx="5">
                  <c:v>20222000</c:v>
                </c:pt>
                <c:pt idx="6">
                  <c:v>23592333.333333336</c:v>
                </c:pt>
                <c:pt idx="7">
                  <c:v>26962666.666666668</c:v>
                </c:pt>
                <c:pt idx="8">
                  <c:v>30333000</c:v>
                </c:pt>
                <c:pt idx="9">
                  <c:v>33703333.333333336</c:v>
                </c:pt>
                <c:pt idx="10">
                  <c:v>37073666.666666672</c:v>
                </c:pt>
                <c:pt idx="11">
                  <c:v>40444000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5-4A6D-B703-981D5D77C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31552"/>
        <c:axId val="227625216"/>
      </c:lineChart>
      <c:catAx>
        <c:axId val="22703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62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625216"/>
        <c:scaling>
          <c:orientation val="minMax"/>
          <c:max val="48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7031552"/>
        <c:crosses val="autoZero"/>
        <c:crossBetween val="between"/>
        <c:majorUnit val="6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1565361445783141"/>
          <c:w val="0.79256435811020409"/>
          <c:h val="0.53789892904953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(kum)'!$K$8:$K$19</c:f>
              <c:numCache>
                <c:formatCode>#\ ##0_ ;\-#\ ##0\ </c:formatCode>
                <c:ptCount val="12"/>
                <c:pt idx="0">
                  <c:v>3632763.33</c:v>
                </c:pt>
                <c:pt idx="1">
                  <c:v>5030296.07</c:v>
                </c:pt>
                <c:pt idx="2">
                  <c:v>7325359.4100000001</c:v>
                </c:pt>
                <c:pt idx="3">
                  <c:v>7325359.4100000001</c:v>
                </c:pt>
                <c:pt idx="4">
                  <c:v>7325359.4100000001</c:v>
                </c:pt>
                <c:pt idx="5">
                  <c:v>7325359.4100000001</c:v>
                </c:pt>
                <c:pt idx="6">
                  <c:v>13953694.190000001</c:v>
                </c:pt>
                <c:pt idx="7">
                  <c:v>13953694.190000001</c:v>
                </c:pt>
                <c:pt idx="8">
                  <c:v>19639493.400000002</c:v>
                </c:pt>
                <c:pt idx="9">
                  <c:v>22996746.670000002</c:v>
                </c:pt>
                <c:pt idx="10">
                  <c:v>24691595.700000003</c:v>
                </c:pt>
                <c:pt idx="11">
                  <c:v>37866967.400000006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E-4A1C-9559-15220B7EE6BE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(kum)'!$L$8:$L$19</c:f>
              <c:numCache>
                <c:formatCode>#\ ##0_ ;\-#\ ##0\ </c:formatCode>
                <c:ptCount val="12"/>
                <c:pt idx="0">
                  <c:v>1739833.3333333333</c:v>
                </c:pt>
                <c:pt idx="1">
                  <c:v>3479666.6666666665</c:v>
                </c:pt>
                <c:pt idx="2">
                  <c:v>5219500</c:v>
                </c:pt>
                <c:pt idx="3">
                  <c:v>6959333.333333333</c:v>
                </c:pt>
                <c:pt idx="4">
                  <c:v>8699166.666666666</c:v>
                </c:pt>
                <c:pt idx="5">
                  <c:v>10439000</c:v>
                </c:pt>
                <c:pt idx="6">
                  <c:v>12178833.333333332</c:v>
                </c:pt>
                <c:pt idx="7">
                  <c:v>13918666.666666666</c:v>
                </c:pt>
                <c:pt idx="8">
                  <c:v>15658500</c:v>
                </c:pt>
                <c:pt idx="9">
                  <c:v>17398333.333333332</c:v>
                </c:pt>
                <c:pt idx="10">
                  <c:v>19138166.666666664</c:v>
                </c:pt>
                <c:pt idx="11">
                  <c:v>20878000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E-4A1C-9559-15220B7EE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32576"/>
        <c:axId val="227626944"/>
      </c:lineChart>
      <c:catAx>
        <c:axId val="22703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62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626944"/>
        <c:scaling>
          <c:orientation val="minMax"/>
          <c:max val="4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7032576"/>
        <c:crosses val="autoZero"/>
        <c:crossBetween val="between"/>
        <c:majorUnit val="5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2016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209002677376172"/>
          <c:w val="0.78515625"/>
          <c:h val="0.53610174029451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(kum)'!$K$28:$K$39</c:f>
              <c:numCache>
                <c:formatCode>#\ ##0_ ;\-#\ ##0\ </c:formatCode>
                <c:ptCount val="12"/>
                <c:pt idx="0">
                  <c:v>442180712.37</c:v>
                </c:pt>
                <c:pt idx="1">
                  <c:v>918083121.91000009</c:v>
                </c:pt>
                <c:pt idx="2">
                  <c:v>1385974334.78</c:v>
                </c:pt>
                <c:pt idx="3">
                  <c:v>1770576506.78</c:v>
                </c:pt>
                <c:pt idx="4">
                  <c:v>2165184979.8599997</c:v>
                </c:pt>
                <c:pt idx="5">
                  <c:v>2760009456.0599999</c:v>
                </c:pt>
                <c:pt idx="6">
                  <c:v>3424670851.4200001</c:v>
                </c:pt>
                <c:pt idx="7">
                  <c:v>3882568860.0599999</c:v>
                </c:pt>
                <c:pt idx="8">
                  <c:v>4412541827.5</c:v>
                </c:pt>
                <c:pt idx="9">
                  <c:v>4866912967.75</c:v>
                </c:pt>
                <c:pt idx="10">
                  <c:v>5341625585.3100004</c:v>
                </c:pt>
                <c:pt idx="11">
                  <c:v>6031790868.2900009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B-410C-8705-64932D8169E7}"/>
            </c:ext>
          </c:extLst>
        </c:ser>
        <c:ser>
          <c:idx val="1"/>
          <c:order val="1"/>
          <c:tx>
            <c:v>plán</c:v>
          </c:tx>
          <c:spPr>
            <a:ln w="25400"/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(kum)'!$L$28:$L$39</c:f>
              <c:numCache>
                <c:formatCode>#\ ##0_ ;\-#\ ##0\ </c:formatCode>
                <c:ptCount val="12"/>
                <c:pt idx="0">
                  <c:v>469177083.33333331</c:v>
                </c:pt>
                <c:pt idx="1">
                  <c:v>938354166.66666663</c:v>
                </c:pt>
                <c:pt idx="2">
                  <c:v>1407531250</c:v>
                </c:pt>
                <c:pt idx="3">
                  <c:v>1876708333.3333333</c:v>
                </c:pt>
                <c:pt idx="4">
                  <c:v>2345885416.6666665</c:v>
                </c:pt>
                <c:pt idx="5">
                  <c:v>2815062500</c:v>
                </c:pt>
                <c:pt idx="6">
                  <c:v>3284239583.333333</c:v>
                </c:pt>
                <c:pt idx="7">
                  <c:v>3753416666.6666665</c:v>
                </c:pt>
                <c:pt idx="8">
                  <c:v>4222593750</c:v>
                </c:pt>
                <c:pt idx="9">
                  <c:v>4691770833.333333</c:v>
                </c:pt>
                <c:pt idx="10">
                  <c:v>5160947916.666666</c:v>
                </c:pt>
                <c:pt idx="11">
                  <c:v>5630125000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B-410C-8705-64932D816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893184"/>
        <c:axId val="227628672"/>
      </c:lineChart>
      <c:catAx>
        <c:axId val="2288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62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628672"/>
        <c:scaling>
          <c:orientation val="minMax"/>
          <c:max val="70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8893184"/>
        <c:crosses val="autoZero"/>
        <c:crossBetween val="between"/>
        <c:majorUnit val="100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18"/>
          <c:y val="0.21542712842712908"/>
          <c:w val="0.80000153186567835"/>
          <c:h val="0.6033932178932186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(měs)'!$E$28:$E$39</c:f>
              <c:numCache>
                <c:formatCode>#\ ##0_ ;\-#\ ##0\ </c:formatCode>
                <c:ptCount val="12"/>
                <c:pt idx="0">
                  <c:v>38459474.730000004</c:v>
                </c:pt>
                <c:pt idx="1">
                  <c:v>13753488.66</c:v>
                </c:pt>
                <c:pt idx="2">
                  <c:v>272730733.15999997</c:v>
                </c:pt>
                <c:pt idx="3">
                  <c:v>86298854.710000008</c:v>
                </c:pt>
                <c:pt idx="4">
                  <c:v>935805.04</c:v>
                </c:pt>
                <c:pt idx="5">
                  <c:v>285768192.20999998</c:v>
                </c:pt>
                <c:pt idx="6">
                  <c:v>289584515.99000001</c:v>
                </c:pt>
                <c:pt idx="7">
                  <c:v>0</c:v>
                </c:pt>
                <c:pt idx="8">
                  <c:v>204785616.62</c:v>
                </c:pt>
                <c:pt idx="9">
                  <c:v>78638025.849999994</c:v>
                </c:pt>
                <c:pt idx="10">
                  <c:v>16224426</c:v>
                </c:pt>
                <c:pt idx="11">
                  <c:v>279558303.85000002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E-4492-98EE-17E1F8346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79392"/>
        <c:axId val="227630400"/>
      </c:lineChart>
      <c:catAx>
        <c:axId val="2291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763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630400"/>
        <c:scaling>
          <c:orientation val="minMax"/>
          <c:max val="36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9179392"/>
        <c:crosses val="autoZero"/>
        <c:crossBetween val="between"/>
        <c:majorUnit val="40000000"/>
      </c:valAx>
    </c:plotArea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21889105339105341"/>
          <c:w val="0.80078125000000222"/>
          <c:h val="0.6103142135642152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(měs)'!$H$28:$H$39</c:f>
              <c:numCache>
                <c:formatCode>#\ ##0_ ;\-#\ ##0\ </c:formatCode>
                <c:ptCount val="12"/>
                <c:pt idx="0">
                  <c:v>275032128.78000003</c:v>
                </c:pt>
                <c:pt idx="1">
                  <c:v>347230592.77999997</c:v>
                </c:pt>
                <c:pt idx="2">
                  <c:v>151712209.43000001</c:v>
                </c:pt>
                <c:pt idx="3">
                  <c:v>185819939.5</c:v>
                </c:pt>
                <c:pt idx="4">
                  <c:v>350640796.96000004</c:v>
                </c:pt>
                <c:pt idx="5">
                  <c:v>205262552.45999998</c:v>
                </c:pt>
                <c:pt idx="6">
                  <c:v>271023242.23000002</c:v>
                </c:pt>
                <c:pt idx="7">
                  <c:v>340559813.54000002</c:v>
                </c:pt>
                <c:pt idx="8">
                  <c:v>163038523.61000001</c:v>
                </c:pt>
                <c:pt idx="9">
                  <c:v>265354811.81</c:v>
                </c:pt>
                <c:pt idx="10">
                  <c:v>342930384.65999997</c:v>
                </c:pt>
                <c:pt idx="11">
                  <c:v>278799089.06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6-468C-8384-CC44A65AC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81952"/>
        <c:axId val="228975744"/>
      </c:lineChart>
      <c:catAx>
        <c:axId val="2291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97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975744"/>
        <c:scaling>
          <c:orientation val="minMax"/>
          <c:max val="490000000.00000006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181952"/>
        <c:crosses val="autoZero"/>
        <c:crossBetween val="between"/>
        <c:majorUnit val="70000000"/>
        <c:minorUnit val="1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7"/>
          <c:y val="0.20553045515394924"/>
          <c:w val="0.8086643835616435"/>
          <c:h val="0.61555321285140563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(měs)'!$B$8:$B$19</c:f>
              <c:numCache>
                <c:formatCode>#\ ##0_ ;\-#\ ##0\ </c:formatCode>
                <c:ptCount val="12"/>
                <c:pt idx="0">
                  <c:v>131228320.12</c:v>
                </c:pt>
                <c:pt idx="1">
                  <c:v>133115586.34999999</c:v>
                </c:pt>
                <c:pt idx="2">
                  <c:v>107595214.28999999</c:v>
                </c:pt>
                <c:pt idx="3">
                  <c:v>94854067.870000005</c:v>
                </c:pt>
                <c:pt idx="4">
                  <c:v>117219701.31999999</c:v>
                </c:pt>
                <c:pt idx="5">
                  <c:v>139085603.84999999</c:v>
                </c:pt>
                <c:pt idx="6">
                  <c:v>135142717.65000001</c:v>
                </c:pt>
                <c:pt idx="7">
                  <c:v>137673596.09</c:v>
                </c:pt>
                <c:pt idx="8">
                  <c:v>126745348.26000001</c:v>
                </c:pt>
                <c:pt idx="9">
                  <c:v>122218340.83</c:v>
                </c:pt>
                <c:pt idx="10">
                  <c:v>145146552.36000001</c:v>
                </c:pt>
                <c:pt idx="11">
                  <c:v>160159123.95000002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6-4214-9EED-47210D0D4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82976"/>
        <c:axId val="228977472"/>
      </c:lineChart>
      <c:catAx>
        <c:axId val="22918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97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977472"/>
        <c:scaling>
          <c:orientation val="minMax"/>
          <c:max val="18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182976"/>
        <c:crosses val="autoZero"/>
        <c:crossBetween val="between"/>
        <c:majorUnit val="2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1,5%*</a:t>
            </a:r>
          </a:p>
        </c:rich>
      </c:tx>
      <c:layout>
        <c:manualLayout>
          <c:xMode val="edge"/>
          <c:yMode val="edge"/>
          <c:x val="0.21120811001417236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20626406926406926"/>
          <c:w val="0.81108523592085235"/>
          <c:h val="0.6263008658008655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(měs)'!$E$8:$E$19</c:f>
              <c:numCache>
                <c:formatCode>#\ ##0_ ;\-#\ ##0\ </c:formatCode>
                <c:ptCount val="12"/>
                <c:pt idx="0">
                  <c:v>8780378.8499999996</c:v>
                </c:pt>
                <c:pt idx="1">
                  <c:v>8905989.4499999993</c:v>
                </c:pt>
                <c:pt idx="2">
                  <c:v>7200997.04</c:v>
                </c:pt>
                <c:pt idx="3">
                  <c:v>6346133.8599999994</c:v>
                </c:pt>
                <c:pt idx="4">
                  <c:v>7842488.3300000001</c:v>
                </c:pt>
                <c:pt idx="5">
                  <c:v>9305408.6199999992</c:v>
                </c:pt>
                <c:pt idx="6">
                  <c:v>9041613.0500000007</c:v>
                </c:pt>
                <c:pt idx="7">
                  <c:v>9210939.4299999997</c:v>
                </c:pt>
                <c:pt idx="8">
                  <c:v>9782819.5199999996</c:v>
                </c:pt>
                <c:pt idx="9">
                  <c:v>8326089.5700000003</c:v>
                </c:pt>
                <c:pt idx="10">
                  <c:v>9888067.379999999</c:v>
                </c:pt>
                <c:pt idx="11">
                  <c:v>10910794.57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0-4CBB-BE87-32E2387EF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48544"/>
        <c:axId val="228979200"/>
      </c:lineChart>
      <c:catAx>
        <c:axId val="2295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897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979200"/>
        <c:scaling>
          <c:orientation val="minMax"/>
          <c:max val="12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9548544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106" footer="0.49212598450000106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6"/>
          <c:y val="0.24001948051948155"/>
          <c:w val="0.78669351101309648"/>
          <c:h val="0.5897745310245309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(měs)'!$B$28:$B$39</c:f>
              <c:numCache>
                <c:formatCode>#\ ##0_ ;\-#\ ##0\ </c:formatCode>
                <c:ptCount val="12"/>
                <c:pt idx="0">
                  <c:v>11285625.260000002</c:v>
                </c:pt>
                <c:pt idx="1">
                  <c:v>14497009.18</c:v>
                </c:pt>
                <c:pt idx="2">
                  <c:v>7751552.4399999995</c:v>
                </c:pt>
                <c:pt idx="3">
                  <c:v>8972187.2599999998</c:v>
                </c:pt>
                <c:pt idx="4">
                  <c:v>10351435.310000001</c:v>
                </c:pt>
                <c:pt idx="5">
                  <c:v>12866667.859999999</c:v>
                </c:pt>
                <c:pt idx="6">
                  <c:v>14488218.640000001</c:v>
                </c:pt>
                <c:pt idx="7">
                  <c:v>14874400.08</c:v>
                </c:pt>
                <c:pt idx="8">
                  <c:v>15857314.120000001</c:v>
                </c:pt>
                <c:pt idx="9">
                  <c:v>13157615.02</c:v>
                </c:pt>
                <c:pt idx="10">
                  <c:v>12201720.210000001</c:v>
                </c:pt>
                <c:pt idx="11">
                  <c:v>10846719.300000001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7-4191-8A8E-ACC6B7777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49568"/>
        <c:axId val="228980928"/>
      </c:lineChart>
      <c:catAx>
        <c:axId val="22954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98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980928"/>
        <c:scaling>
          <c:orientation val="minMax"/>
          <c:max val="24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549568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záloh*</a:t>
            </a:r>
          </a:p>
        </c:rich>
      </c:tx>
      <c:layout>
        <c:manualLayout>
          <c:xMode val="edge"/>
          <c:yMode val="edge"/>
          <c:x val="0.21319235159817351"/>
          <c:y val="4.14936412315930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23590930388219639"/>
          <c:w val="0.8294133528901515"/>
          <c:h val="0.592323293172690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(měs)'!$H$8:$H$19</c:f>
              <c:numCache>
                <c:formatCode>#\ ##0_ ;\-#\ ##0\ </c:formatCode>
                <c:ptCount val="12"/>
                <c:pt idx="0">
                  <c:v>14680684.859999999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9-47ED-AA8A-FC7E5762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50592"/>
        <c:axId val="229908480"/>
      </c:lineChart>
      <c:catAx>
        <c:axId val="22955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990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908480"/>
        <c:scaling>
          <c:orientation val="minMax"/>
          <c:max val="21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550592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5390656565656661"/>
          <c:w val="0.79256435811020409"/>
          <c:h val="0.57615187590187777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(měs)'!$K$8:$K$19</c:f>
              <c:numCache>
                <c:formatCode>#\ ##0_ ;\-#\ ##0\ </c:formatCode>
                <c:ptCount val="12"/>
                <c:pt idx="0">
                  <c:v>3839840.5500000003</c:v>
                </c:pt>
                <c:pt idx="1">
                  <c:v>1718937.0499999998</c:v>
                </c:pt>
                <c:pt idx="2">
                  <c:v>4264083.7300000004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7234059.21</c:v>
                </c:pt>
                <c:pt idx="7">
                  <c:v>0</c:v>
                </c:pt>
                <c:pt idx="8">
                  <c:v>6113577.25</c:v>
                </c:pt>
                <c:pt idx="9">
                  <c:v>2854137.74</c:v>
                </c:pt>
                <c:pt idx="10">
                  <c:v>2027549.51</c:v>
                </c:pt>
                <c:pt idx="11">
                  <c:v>14158222.029999999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45E-983D-7896D2C21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51616"/>
        <c:axId val="229910208"/>
      </c:lineChart>
      <c:catAx>
        <c:axId val="22955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991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910208"/>
        <c:scaling>
          <c:orientation val="minMax"/>
          <c:max val="16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551616"/>
        <c:crosses val="autoZero"/>
        <c:crossBetween val="between"/>
        <c:majorUnit val="20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D3DAE5-B8B5-476E-9F78-07D36E10253E}">
  <sheetPr>
    <tabColor theme="3" tint="-0.249977111117893"/>
  </sheetPr>
  <sheetViews>
    <sheetView workbookViewId="0"/>
  </sheetViews>
  <pageMargins left="0.51181102362204722" right="0.51181102362204722" top="0.59055118110236227" bottom="0.59055118110236227" header="0.31496062992125984" footer="0.31496062992125984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977D4AE-D944-42A2-8536-F9DD6D2EDFD8}">
  <sheetPr>
    <tabColor theme="3" tint="-0.249977111117893"/>
  </sheetPr>
  <sheetViews>
    <sheetView workbookViewId="0"/>
  </sheetViews>
  <pageMargins left="0.51181102362204722" right="0.51181102362204722" top="0.59055118110236227" bottom="0.59055118110236227" header="0.31496062992125984" footer="0.31496062992125984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C4303E-3004-489B-8930-C311D3B6E76F}">
  <sheetPr>
    <tabColor theme="3" tint="-0.249977111117893"/>
  </sheetPr>
  <sheetViews>
    <sheetView workbookViewId="0"/>
  </sheetViews>
  <pageMargins left="0.51181102362204722" right="0.51181102362204722" top="0.59055118110236227" bottom="0.59055118110236227" header="0.31496062992125984" footer="0.31496062992125984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4CE6BE9-4093-41B3-9757-BEDEA70077F1}">
  <sheetPr>
    <tabColor theme="3" tint="-0.249977111117893"/>
  </sheetPr>
  <sheetViews>
    <sheetView workbookViewId="0"/>
  </sheetViews>
  <pageMargins left="0.51181102362204722" right="0.51181102362204722" top="0.59055118110236227" bottom="0.59055118110236227" header="0.31496062992125984" footer="0.31496062992125984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79A676-90E5-4DEB-99E9-7B35EE777DC3}">
  <sheetPr>
    <tabColor theme="3" tint="-0.249977111117893"/>
  </sheetPr>
  <sheetViews>
    <sheetView workbookViewId="0"/>
  </sheetViews>
  <pageMargins left="0.51181102362204722" right="0.51181102362204722" top="0.59055118110236227" bottom="0.59055118110236227" header="0.31496062992125984" footer="0.31496062992125984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9E821FC-C683-433A-9224-C3E2DA24C489}">
  <sheetPr>
    <tabColor theme="3" tint="-0.249977111117893"/>
  </sheetPr>
  <sheetViews>
    <sheetView workbookViewId="0"/>
  </sheetViews>
  <pageMargins left="0.51181102362204722" right="0.51181102362204722" top="0.59055118110236227" bottom="0.59055118110236227" header="0.31496062992125984" footer="0.31496062992125984"/>
  <pageSetup paperSize="9" orientation="landscape" r:id="rId1"/>
  <drawing r:id="rId2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2.xml"/><Relationship Id="rId3" Type="http://schemas.openxmlformats.org/officeDocument/2006/relationships/chart" Target="../charts/chart47.xml"/><Relationship Id="rId7" Type="http://schemas.openxmlformats.org/officeDocument/2006/relationships/chart" Target="../charts/chart51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chart" Target="../charts/chart50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0.xml"/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3.xml"/><Relationship Id="rId7" Type="http://schemas.openxmlformats.org/officeDocument/2006/relationships/chart" Target="../charts/chart67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6.xml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4" Type="http://schemas.openxmlformats.org/officeDocument/2006/relationships/chart" Target="../charts/chart72.xml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4.xml"/><Relationship Id="rId3" Type="http://schemas.openxmlformats.org/officeDocument/2006/relationships/chart" Target="../charts/chart79.xml"/><Relationship Id="rId7" Type="http://schemas.openxmlformats.org/officeDocument/2006/relationships/chart" Target="../charts/chart83.xml"/><Relationship Id="rId2" Type="http://schemas.openxmlformats.org/officeDocument/2006/relationships/chart" Target="../charts/chart78.xml"/><Relationship Id="rId1" Type="http://schemas.openxmlformats.org/officeDocument/2006/relationships/chart" Target="../charts/chart77.xml"/><Relationship Id="rId6" Type="http://schemas.openxmlformats.org/officeDocument/2006/relationships/chart" Target="../charts/chart82.xml"/><Relationship Id="rId5" Type="http://schemas.openxmlformats.org/officeDocument/2006/relationships/chart" Target="../charts/chart81.xml"/><Relationship Id="rId4" Type="http://schemas.openxmlformats.org/officeDocument/2006/relationships/chart" Target="../charts/chart80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2.xml"/><Relationship Id="rId3" Type="http://schemas.openxmlformats.org/officeDocument/2006/relationships/chart" Target="../charts/chart87.xml"/><Relationship Id="rId7" Type="http://schemas.openxmlformats.org/officeDocument/2006/relationships/chart" Target="../charts/chart91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5" Type="http://schemas.openxmlformats.org/officeDocument/2006/relationships/chart" Target="../charts/chart89.xml"/><Relationship Id="rId4" Type="http://schemas.openxmlformats.org/officeDocument/2006/relationships/chart" Target="../charts/chart88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0.xml"/><Relationship Id="rId3" Type="http://schemas.openxmlformats.org/officeDocument/2006/relationships/chart" Target="../charts/chart95.xml"/><Relationship Id="rId7" Type="http://schemas.openxmlformats.org/officeDocument/2006/relationships/chart" Target="../charts/chart99.xml"/><Relationship Id="rId2" Type="http://schemas.openxmlformats.org/officeDocument/2006/relationships/chart" Target="../charts/chart94.xml"/><Relationship Id="rId1" Type="http://schemas.openxmlformats.org/officeDocument/2006/relationships/chart" Target="../charts/chart93.xml"/><Relationship Id="rId6" Type="http://schemas.openxmlformats.org/officeDocument/2006/relationships/chart" Target="../charts/chart98.xml"/><Relationship Id="rId5" Type="http://schemas.openxmlformats.org/officeDocument/2006/relationships/chart" Target="../charts/chart97.xml"/><Relationship Id="rId4" Type="http://schemas.openxmlformats.org/officeDocument/2006/relationships/chart" Target="../charts/chart96.xml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8.xml"/><Relationship Id="rId3" Type="http://schemas.openxmlformats.org/officeDocument/2006/relationships/chart" Target="../charts/chart103.xml"/><Relationship Id="rId7" Type="http://schemas.openxmlformats.org/officeDocument/2006/relationships/chart" Target="../charts/chart107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6" Type="http://schemas.openxmlformats.org/officeDocument/2006/relationships/chart" Target="../charts/chart106.xml"/><Relationship Id="rId5" Type="http://schemas.openxmlformats.org/officeDocument/2006/relationships/chart" Target="../charts/chart105.xml"/><Relationship Id="rId4" Type="http://schemas.openxmlformats.org/officeDocument/2006/relationships/chart" Target="../charts/chart104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1.xml"/><Relationship Id="rId7" Type="http://schemas.openxmlformats.org/officeDocument/2006/relationships/chart" Target="../charts/chart115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5" Type="http://schemas.openxmlformats.org/officeDocument/2006/relationships/chart" Target="../charts/chart113.xml"/><Relationship Id="rId4" Type="http://schemas.openxmlformats.org/officeDocument/2006/relationships/chart" Target="../charts/chart11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7" Type="http://schemas.openxmlformats.org/officeDocument/2006/relationships/chart" Target="../charts/chart122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Relationship Id="rId6" Type="http://schemas.openxmlformats.org/officeDocument/2006/relationships/chart" Target="../charts/chart121.xml"/><Relationship Id="rId5" Type="http://schemas.openxmlformats.org/officeDocument/2006/relationships/chart" Target="../charts/chart120.xml"/><Relationship Id="rId4" Type="http://schemas.openxmlformats.org/officeDocument/2006/relationships/chart" Target="../charts/chart119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5.xml"/><Relationship Id="rId7" Type="http://schemas.openxmlformats.org/officeDocument/2006/relationships/chart" Target="../charts/chart129.xml"/><Relationship Id="rId2" Type="http://schemas.openxmlformats.org/officeDocument/2006/relationships/chart" Target="../charts/chart124.xml"/><Relationship Id="rId1" Type="http://schemas.openxmlformats.org/officeDocument/2006/relationships/chart" Target="../charts/chart123.xml"/><Relationship Id="rId6" Type="http://schemas.openxmlformats.org/officeDocument/2006/relationships/chart" Target="../charts/chart128.xml"/><Relationship Id="rId5" Type="http://schemas.openxmlformats.org/officeDocument/2006/relationships/chart" Target="../charts/chart127.xml"/><Relationship Id="rId4" Type="http://schemas.openxmlformats.org/officeDocument/2006/relationships/chart" Target="../charts/chart126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2.xml"/><Relationship Id="rId7" Type="http://schemas.openxmlformats.org/officeDocument/2006/relationships/chart" Target="../charts/chart136.xml"/><Relationship Id="rId2" Type="http://schemas.openxmlformats.org/officeDocument/2006/relationships/chart" Target="../charts/chart131.xml"/><Relationship Id="rId1" Type="http://schemas.openxmlformats.org/officeDocument/2006/relationships/chart" Target="../charts/chart130.xml"/><Relationship Id="rId6" Type="http://schemas.openxmlformats.org/officeDocument/2006/relationships/chart" Target="../charts/chart135.xml"/><Relationship Id="rId5" Type="http://schemas.openxmlformats.org/officeDocument/2006/relationships/chart" Target="../charts/chart134.xml"/><Relationship Id="rId4" Type="http://schemas.openxmlformats.org/officeDocument/2006/relationships/chart" Target="../charts/chart133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9.xml"/><Relationship Id="rId7" Type="http://schemas.openxmlformats.org/officeDocument/2006/relationships/chart" Target="../charts/chart143.xml"/><Relationship Id="rId2" Type="http://schemas.openxmlformats.org/officeDocument/2006/relationships/chart" Target="../charts/chart138.xml"/><Relationship Id="rId1" Type="http://schemas.openxmlformats.org/officeDocument/2006/relationships/chart" Target="../charts/chart137.xml"/><Relationship Id="rId6" Type="http://schemas.openxmlformats.org/officeDocument/2006/relationships/chart" Target="../charts/chart142.xml"/><Relationship Id="rId5" Type="http://schemas.openxmlformats.org/officeDocument/2006/relationships/chart" Target="../charts/chart141.xml"/><Relationship Id="rId4" Type="http://schemas.openxmlformats.org/officeDocument/2006/relationships/chart" Target="../charts/chart140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6.xml"/><Relationship Id="rId7" Type="http://schemas.openxmlformats.org/officeDocument/2006/relationships/chart" Target="../charts/chart150.xml"/><Relationship Id="rId2" Type="http://schemas.openxmlformats.org/officeDocument/2006/relationships/chart" Target="../charts/chart145.xml"/><Relationship Id="rId1" Type="http://schemas.openxmlformats.org/officeDocument/2006/relationships/chart" Target="../charts/chart144.xml"/><Relationship Id="rId6" Type="http://schemas.openxmlformats.org/officeDocument/2006/relationships/chart" Target="../charts/chart149.xml"/><Relationship Id="rId5" Type="http://schemas.openxmlformats.org/officeDocument/2006/relationships/chart" Target="../charts/chart148.xml"/><Relationship Id="rId4" Type="http://schemas.openxmlformats.org/officeDocument/2006/relationships/chart" Target="../charts/chart147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3.xml"/><Relationship Id="rId7" Type="http://schemas.openxmlformats.org/officeDocument/2006/relationships/chart" Target="../charts/chart157.xml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6" Type="http://schemas.openxmlformats.org/officeDocument/2006/relationships/chart" Target="../charts/chart156.xml"/><Relationship Id="rId5" Type="http://schemas.openxmlformats.org/officeDocument/2006/relationships/chart" Target="../charts/chart155.xml"/><Relationship Id="rId4" Type="http://schemas.openxmlformats.org/officeDocument/2006/relationships/chart" Target="../charts/chart154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0.xml"/><Relationship Id="rId7" Type="http://schemas.openxmlformats.org/officeDocument/2006/relationships/chart" Target="../charts/chart164.xml"/><Relationship Id="rId2" Type="http://schemas.openxmlformats.org/officeDocument/2006/relationships/chart" Target="../charts/chart159.xml"/><Relationship Id="rId1" Type="http://schemas.openxmlformats.org/officeDocument/2006/relationships/chart" Target="../charts/chart158.xml"/><Relationship Id="rId6" Type="http://schemas.openxmlformats.org/officeDocument/2006/relationships/chart" Target="../charts/chart163.xml"/><Relationship Id="rId5" Type="http://schemas.openxmlformats.org/officeDocument/2006/relationships/chart" Target="../charts/chart162.xml"/><Relationship Id="rId4" Type="http://schemas.openxmlformats.org/officeDocument/2006/relationships/chart" Target="../charts/chart161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7.xml"/><Relationship Id="rId7" Type="http://schemas.openxmlformats.org/officeDocument/2006/relationships/chart" Target="../charts/chart171.xml"/><Relationship Id="rId2" Type="http://schemas.openxmlformats.org/officeDocument/2006/relationships/chart" Target="../charts/chart166.xml"/><Relationship Id="rId1" Type="http://schemas.openxmlformats.org/officeDocument/2006/relationships/chart" Target="../charts/chart165.xml"/><Relationship Id="rId6" Type="http://schemas.openxmlformats.org/officeDocument/2006/relationships/chart" Target="../charts/chart170.xml"/><Relationship Id="rId5" Type="http://schemas.openxmlformats.org/officeDocument/2006/relationships/chart" Target="../charts/chart169.xml"/><Relationship Id="rId4" Type="http://schemas.openxmlformats.org/officeDocument/2006/relationships/chart" Target="../charts/chart168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4.xml"/><Relationship Id="rId7" Type="http://schemas.openxmlformats.org/officeDocument/2006/relationships/chart" Target="../charts/chart178.xml"/><Relationship Id="rId2" Type="http://schemas.openxmlformats.org/officeDocument/2006/relationships/chart" Target="../charts/chart173.xml"/><Relationship Id="rId1" Type="http://schemas.openxmlformats.org/officeDocument/2006/relationships/chart" Target="../charts/chart172.xml"/><Relationship Id="rId6" Type="http://schemas.openxmlformats.org/officeDocument/2006/relationships/chart" Target="../charts/chart177.xml"/><Relationship Id="rId5" Type="http://schemas.openxmlformats.org/officeDocument/2006/relationships/chart" Target="../charts/chart176.xml"/><Relationship Id="rId4" Type="http://schemas.openxmlformats.org/officeDocument/2006/relationships/chart" Target="../charts/chart175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1.xml"/><Relationship Id="rId7" Type="http://schemas.openxmlformats.org/officeDocument/2006/relationships/chart" Target="../charts/chart185.xml"/><Relationship Id="rId2" Type="http://schemas.openxmlformats.org/officeDocument/2006/relationships/chart" Target="../charts/chart180.xml"/><Relationship Id="rId1" Type="http://schemas.openxmlformats.org/officeDocument/2006/relationships/chart" Target="../charts/chart179.xml"/><Relationship Id="rId6" Type="http://schemas.openxmlformats.org/officeDocument/2006/relationships/chart" Target="../charts/chart184.xml"/><Relationship Id="rId5" Type="http://schemas.openxmlformats.org/officeDocument/2006/relationships/chart" Target="../charts/chart183.xml"/><Relationship Id="rId4" Type="http://schemas.openxmlformats.org/officeDocument/2006/relationships/chart" Target="../charts/chart182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8.xml"/><Relationship Id="rId7" Type="http://schemas.openxmlformats.org/officeDocument/2006/relationships/chart" Target="../charts/chart192.xml"/><Relationship Id="rId2" Type="http://schemas.openxmlformats.org/officeDocument/2006/relationships/chart" Target="../charts/chart187.xml"/><Relationship Id="rId1" Type="http://schemas.openxmlformats.org/officeDocument/2006/relationships/chart" Target="../charts/chart186.xml"/><Relationship Id="rId6" Type="http://schemas.openxmlformats.org/officeDocument/2006/relationships/chart" Target="../charts/chart191.xml"/><Relationship Id="rId5" Type="http://schemas.openxmlformats.org/officeDocument/2006/relationships/chart" Target="../charts/chart190.xml"/><Relationship Id="rId4" Type="http://schemas.openxmlformats.org/officeDocument/2006/relationships/chart" Target="../charts/chart189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5.xml"/><Relationship Id="rId7" Type="http://schemas.openxmlformats.org/officeDocument/2006/relationships/chart" Target="../charts/chart199.xml"/><Relationship Id="rId2" Type="http://schemas.openxmlformats.org/officeDocument/2006/relationships/chart" Target="../charts/chart194.xml"/><Relationship Id="rId1" Type="http://schemas.openxmlformats.org/officeDocument/2006/relationships/chart" Target="../charts/chart193.xml"/><Relationship Id="rId6" Type="http://schemas.openxmlformats.org/officeDocument/2006/relationships/chart" Target="../charts/chart198.xml"/><Relationship Id="rId5" Type="http://schemas.openxmlformats.org/officeDocument/2006/relationships/chart" Target="../charts/chart197.xml"/><Relationship Id="rId4" Type="http://schemas.openxmlformats.org/officeDocument/2006/relationships/chart" Target="../charts/chart196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2.xml"/><Relationship Id="rId7" Type="http://schemas.openxmlformats.org/officeDocument/2006/relationships/chart" Target="../charts/chart206.xml"/><Relationship Id="rId2" Type="http://schemas.openxmlformats.org/officeDocument/2006/relationships/chart" Target="../charts/chart201.xml"/><Relationship Id="rId1" Type="http://schemas.openxmlformats.org/officeDocument/2006/relationships/chart" Target="../charts/chart200.xml"/><Relationship Id="rId6" Type="http://schemas.openxmlformats.org/officeDocument/2006/relationships/chart" Target="../charts/chart205.xml"/><Relationship Id="rId5" Type="http://schemas.openxmlformats.org/officeDocument/2006/relationships/chart" Target="../charts/chart204.xml"/><Relationship Id="rId4" Type="http://schemas.openxmlformats.org/officeDocument/2006/relationships/chart" Target="../charts/chart203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9.xml"/><Relationship Id="rId7" Type="http://schemas.openxmlformats.org/officeDocument/2006/relationships/chart" Target="../charts/chart213.xml"/><Relationship Id="rId2" Type="http://schemas.openxmlformats.org/officeDocument/2006/relationships/chart" Target="../charts/chart208.xml"/><Relationship Id="rId1" Type="http://schemas.openxmlformats.org/officeDocument/2006/relationships/chart" Target="../charts/chart207.xml"/><Relationship Id="rId6" Type="http://schemas.openxmlformats.org/officeDocument/2006/relationships/chart" Target="../charts/chart212.xml"/><Relationship Id="rId5" Type="http://schemas.openxmlformats.org/officeDocument/2006/relationships/chart" Target="../charts/chart211.xml"/><Relationship Id="rId4" Type="http://schemas.openxmlformats.org/officeDocument/2006/relationships/chart" Target="../charts/chart210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6.xml"/><Relationship Id="rId7" Type="http://schemas.openxmlformats.org/officeDocument/2006/relationships/chart" Target="../charts/chart220.xml"/><Relationship Id="rId2" Type="http://schemas.openxmlformats.org/officeDocument/2006/relationships/chart" Target="../charts/chart215.xml"/><Relationship Id="rId1" Type="http://schemas.openxmlformats.org/officeDocument/2006/relationships/chart" Target="../charts/chart214.xml"/><Relationship Id="rId6" Type="http://schemas.openxmlformats.org/officeDocument/2006/relationships/chart" Target="../charts/chart219.xml"/><Relationship Id="rId5" Type="http://schemas.openxmlformats.org/officeDocument/2006/relationships/chart" Target="../charts/chart218.xml"/><Relationship Id="rId4" Type="http://schemas.openxmlformats.org/officeDocument/2006/relationships/chart" Target="../charts/chart217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3.xml"/><Relationship Id="rId7" Type="http://schemas.openxmlformats.org/officeDocument/2006/relationships/chart" Target="../charts/chart227.xml"/><Relationship Id="rId2" Type="http://schemas.openxmlformats.org/officeDocument/2006/relationships/chart" Target="../charts/chart222.xml"/><Relationship Id="rId1" Type="http://schemas.openxmlformats.org/officeDocument/2006/relationships/chart" Target="../charts/chart221.xml"/><Relationship Id="rId6" Type="http://schemas.openxmlformats.org/officeDocument/2006/relationships/chart" Target="../charts/chart226.xml"/><Relationship Id="rId5" Type="http://schemas.openxmlformats.org/officeDocument/2006/relationships/chart" Target="../charts/chart225.xml"/><Relationship Id="rId4" Type="http://schemas.openxmlformats.org/officeDocument/2006/relationships/chart" Target="../charts/chart224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0.xml"/><Relationship Id="rId7" Type="http://schemas.openxmlformats.org/officeDocument/2006/relationships/chart" Target="../charts/chart234.xml"/><Relationship Id="rId2" Type="http://schemas.openxmlformats.org/officeDocument/2006/relationships/chart" Target="../charts/chart229.xml"/><Relationship Id="rId1" Type="http://schemas.openxmlformats.org/officeDocument/2006/relationships/chart" Target="../charts/chart228.xml"/><Relationship Id="rId6" Type="http://schemas.openxmlformats.org/officeDocument/2006/relationships/chart" Target="../charts/chart233.xml"/><Relationship Id="rId5" Type="http://schemas.openxmlformats.org/officeDocument/2006/relationships/chart" Target="../charts/chart232.xml"/><Relationship Id="rId4" Type="http://schemas.openxmlformats.org/officeDocument/2006/relationships/chart" Target="../charts/chart231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7.xml"/><Relationship Id="rId7" Type="http://schemas.openxmlformats.org/officeDocument/2006/relationships/chart" Target="../charts/chart241.xml"/><Relationship Id="rId2" Type="http://schemas.openxmlformats.org/officeDocument/2006/relationships/chart" Target="../charts/chart236.xml"/><Relationship Id="rId1" Type="http://schemas.openxmlformats.org/officeDocument/2006/relationships/chart" Target="../charts/chart235.xml"/><Relationship Id="rId6" Type="http://schemas.openxmlformats.org/officeDocument/2006/relationships/chart" Target="../charts/chart240.xml"/><Relationship Id="rId5" Type="http://schemas.openxmlformats.org/officeDocument/2006/relationships/chart" Target="../charts/chart239.xml"/><Relationship Id="rId4" Type="http://schemas.openxmlformats.org/officeDocument/2006/relationships/chart" Target="../charts/chart238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4.xml"/><Relationship Id="rId7" Type="http://schemas.openxmlformats.org/officeDocument/2006/relationships/chart" Target="../charts/chart248.xml"/><Relationship Id="rId2" Type="http://schemas.openxmlformats.org/officeDocument/2006/relationships/chart" Target="../charts/chart243.xml"/><Relationship Id="rId1" Type="http://schemas.openxmlformats.org/officeDocument/2006/relationships/chart" Target="../charts/chart242.xml"/><Relationship Id="rId6" Type="http://schemas.openxmlformats.org/officeDocument/2006/relationships/chart" Target="../charts/chart247.xml"/><Relationship Id="rId5" Type="http://schemas.openxmlformats.org/officeDocument/2006/relationships/chart" Target="../charts/chart246.xml"/><Relationship Id="rId4" Type="http://schemas.openxmlformats.org/officeDocument/2006/relationships/chart" Target="../charts/chart245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1.xml"/><Relationship Id="rId7" Type="http://schemas.openxmlformats.org/officeDocument/2006/relationships/chart" Target="../charts/chart255.xml"/><Relationship Id="rId2" Type="http://schemas.openxmlformats.org/officeDocument/2006/relationships/chart" Target="../charts/chart250.xml"/><Relationship Id="rId1" Type="http://schemas.openxmlformats.org/officeDocument/2006/relationships/chart" Target="../charts/chart249.xml"/><Relationship Id="rId6" Type="http://schemas.openxmlformats.org/officeDocument/2006/relationships/chart" Target="../charts/chart254.xml"/><Relationship Id="rId5" Type="http://schemas.openxmlformats.org/officeDocument/2006/relationships/chart" Target="../charts/chart253.xml"/><Relationship Id="rId4" Type="http://schemas.openxmlformats.org/officeDocument/2006/relationships/chart" Target="../charts/chart252.xml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8.xml"/><Relationship Id="rId7" Type="http://schemas.openxmlformats.org/officeDocument/2006/relationships/chart" Target="../charts/chart262.xml"/><Relationship Id="rId2" Type="http://schemas.openxmlformats.org/officeDocument/2006/relationships/chart" Target="../charts/chart257.xml"/><Relationship Id="rId1" Type="http://schemas.openxmlformats.org/officeDocument/2006/relationships/chart" Target="../charts/chart256.xml"/><Relationship Id="rId6" Type="http://schemas.openxmlformats.org/officeDocument/2006/relationships/chart" Target="../charts/chart261.xml"/><Relationship Id="rId5" Type="http://schemas.openxmlformats.org/officeDocument/2006/relationships/chart" Target="../charts/chart260.xml"/><Relationship Id="rId4" Type="http://schemas.openxmlformats.org/officeDocument/2006/relationships/chart" Target="../charts/chart25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14</xdr:col>
      <xdr:colOff>273326</xdr:colOff>
      <xdr:row>24</xdr:row>
      <xdr:rowOff>0</xdr:rowOff>
    </xdr:to>
    <xdr:sp macro="" textlink="">
      <xdr:nvSpPr>
        <xdr:cNvPr id="2" name="Tip k zadávání dat" descr="Pokud chcete přidat nové řádky tabulky pro položky inventáře, vyberte poslední buňku v tabulce nad řádkem souhrnů, třeba buňku K16, a stiskněte klávesu TAB. &#10;(Tato poznámka se nevytiskne.)&#10;">
          <a:extLst>
            <a:ext uri="{FF2B5EF4-FFF2-40B4-BE49-F238E27FC236}">
              <a16:creationId xmlns:a16="http://schemas.microsoft.com/office/drawing/2014/main" id="{6F9BE50C-D210-4DDC-B9DF-4EF81FB3A8AE}"/>
            </a:ext>
          </a:extLst>
        </xdr:cNvPr>
        <xdr:cNvSpPr txBox="1"/>
      </xdr:nvSpPr>
      <xdr:spPr>
        <a:xfrm>
          <a:off x="0" y="4524375"/>
          <a:ext cx="370522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just"/>
          <a:r>
            <a:rPr lang="cs-CZ" sz="1200" b="1">
              <a:solidFill>
                <a:srgbClr val="000000"/>
              </a:solidFill>
              <a:latin typeface="+mn-lt"/>
            </a:rPr>
            <a:t>Tento</a:t>
          </a:r>
          <a:r>
            <a:rPr lang="cs-CZ" sz="1200" b="1" baseline="0">
              <a:solidFill>
                <a:srgbClr val="000000"/>
              </a:solidFill>
              <a:latin typeface="+mn-lt"/>
            </a:rPr>
            <a:t> soubor vedle celkových dat z let 2015 až 2024 obsahuje rovněž i údaje od roku 2000 (skryté sloupce na tomto listu) a dále v podrobném přehledu daní v jednotlivých letech i údaje z let 2012 až 2023 (skryté listy souboru). </a:t>
          </a:r>
          <a:r>
            <a:rPr lang="cs-CZ" sz="1200" b="1" u="none" baseline="0">
              <a:solidFill>
                <a:srgbClr val="000000"/>
              </a:solidFill>
              <a:latin typeface="+mn-lt"/>
            </a:rPr>
            <a:t>Tato poznámka se n</a:t>
          </a:r>
          <a:r>
            <a:rPr lang="en-US" sz="1200" b="1" u="none">
              <a:solidFill>
                <a:srgbClr val="000000"/>
              </a:solidFill>
              <a:latin typeface="+mn-lt"/>
            </a:rPr>
            <a:t>evytiskne.</a:t>
          </a:r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37222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D9CC423-BC2C-EBFB-D7DC-C68D6DC5757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37222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FF76F35-A537-F384-F924-D13A3B9860B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0.07239</cdr:x>
      <cdr:y>0.89287</cdr:y>
    </cdr:from>
    <cdr:to>
      <cdr:x>0.09632</cdr:x>
      <cdr:y>0.90991</cdr:y>
    </cdr:to>
    <cdr:grpSp>
      <cdr:nvGrpSpPr>
        <cdr:cNvPr id="5" name="Skupina 4">
          <a:extLst xmlns:a="http://schemas.openxmlformats.org/drawingml/2006/main">
            <a:ext uri="{FF2B5EF4-FFF2-40B4-BE49-F238E27FC236}">
              <a16:creationId xmlns:a16="http://schemas.microsoft.com/office/drawing/2014/main" id="{C5B70E0B-6353-4C44-89C7-87C59F195EDF}"/>
            </a:ext>
          </a:extLst>
        </cdr:cNvPr>
        <cdr:cNvGrpSpPr/>
      </cdr:nvGrpSpPr>
      <cdr:grpSpPr>
        <a:xfrm xmlns:a="http://schemas.openxmlformats.org/drawingml/2006/main">
          <a:off x="698478" y="5689569"/>
          <a:ext cx="230897" cy="108582"/>
          <a:chOff x="0" y="0"/>
          <a:chExt cx="230827" cy="108552"/>
        </a:xfrm>
      </cdr:grpSpPr>
      <cdr:cxnSp macro="">
        <cdr:nvCxnSpPr>
          <cdr:cNvPr id="6" name="Přímá spojnice 5">
            <a:extLst xmlns:a="http://schemas.openxmlformats.org/drawingml/2006/main">
              <a:ext uri="{FF2B5EF4-FFF2-40B4-BE49-F238E27FC236}">
                <a16:creationId xmlns:a16="http://schemas.microsoft.com/office/drawing/2014/main" id="{636475CA-86B7-416F-BCFF-84E104B2448B}"/>
              </a:ext>
            </a:extLst>
          </cdr:cNvPr>
          <cdr:cNvCxnSpPr/>
        </cdr:nvCxnSpPr>
        <cdr:spPr>
          <a:xfrm xmlns:a="http://schemas.openxmlformats.org/drawingml/2006/main" flipV="1">
            <a:off x="0" y="0"/>
            <a:ext cx="227133" cy="53973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Přímá spojnice 6">
            <a:extLst xmlns:a="http://schemas.openxmlformats.org/drawingml/2006/main">
              <a:ext uri="{FF2B5EF4-FFF2-40B4-BE49-F238E27FC236}">
                <a16:creationId xmlns:a16="http://schemas.microsoft.com/office/drawing/2014/main" id="{96AA2611-A78E-4D6C-89FB-C9F00EC44D3E}"/>
              </a:ext>
            </a:extLst>
          </cdr:cNvPr>
          <cdr:cNvCxnSpPr/>
        </cdr:nvCxnSpPr>
        <cdr:spPr>
          <a:xfrm xmlns:a="http://schemas.openxmlformats.org/drawingml/2006/main" flipV="1">
            <a:off x="3694" y="54516"/>
            <a:ext cx="227133" cy="5403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37222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7A0FC5A-B539-17D4-2BC4-0EE4F482AE8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0.07239</cdr:x>
      <cdr:y>0.8869</cdr:y>
    </cdr:from>
    <cdr:to>
      <cdr:x>0.09632</cdr:x>
      <cdr:y>0.90393</cdr:y>
    </cdr:to>
    <cdr:grpSp>
      <cdr:nvGrpSpPr>
        <cdr:cNvPr id="2" name="Skupina 1">
          <a:extLst xmlns:a="http://schemas.openxmlformats.org/drawingml/2006/main">
            <a:ext uri="{FF2B5EF4-FFF2-40B4-BE49-F238E27FC236}">
              <a16:creationId xmlns:a16="http://schemas.microsoft.com/office/drawing/2014/main" id="{B0FC6F22-4875-4832-B53D-20DB64FD44D7}"/>
            </a:ext>
          </a:extLst>
        </cdr:cNvPr>
        <cdr:cNvGrpSpPr/>
      </cdr:nvGrpSpPr>
      <cdr:grpSpPr>
        <a:xfrm xmlns:a="http://schemas.openxmlformats.org/drawingml/2006/main">
          <a:off x="698478" y="5651526"/>
          <a:ext cx="230897" cy="108519"/>
          <a:chOff x="0" y="0"/>
          <a:chExt cx="230827" cy="108552"/>
        </a:xfrm>
      </cdr:grpSpPr>
      <cdr:cxnSp macro="">
        <cdr:nvCxnSpPr>
          <cdr:cNvPr id="3" name="Přímá spojnice 2">
            <a:extLst xmlns:a="http://schemas.openxmlformats.org/drawingml/2006/main">
              <a:ext uri="{FF2B5EF4-FFF2-40B4-BE49-F238E27FC236}">
                <a16:creationId xmlns:a16="http://schemas.microsoft.com/office/drawing/2014/main" id="{64BA2769-A9B2-4C87-B919-8E1922003F77}"/>
              </a:ext>
            </a:extLst>
          </cdr:cNvPr>
          <cdr:cNvCxnSpPr/>
        </cdr:nvCxnSpPr>
        <cdr:spPr>
          <a:xfrm xmlns:a="http://schemas.openxmlformats.org/drawingml/2006/main" flipV="1">
            <a:off x="0" y="0"/>
            <a:ext cx="227133" cy="53973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Přímá spojnice 3">
            <a:extLst xmlns:a="http://schemas.openxmlformats.org/drawingml/2006/main">
              <a:ext uri="{FF2B5EF4-FFF2-40B4-BE49-F238E27FC236}">
                <a16:creationId xmlns:a16="http://schemas.microsoft.com/office/drawing/2014/main" id="{1F19F19E-BF62-4A7D-AFB3-F60EC56E4C0C}"/>
              </a:ext>
            </a:extLst>
          </cdr:cNvPr>
          <cdr:cNvCxnSpPr/>
        </cdr:nvCxnSpPr>
        <cdr:spPr>
          <a:xfrm xmlns:a="http://schemas.openxmlformats.org/drawingml/2006/main" flipV="1">
            <a:off x="3694" y="54516"/>
            <a:ext cx="227133" cy="5403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37222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DC797B5-EFC5-D959-2ADC-251B3AFDBC8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0.0787</cdr:x>
      <cdr:y>0.88889</cdr:y>
    </cdr:from>
    <cdr:to>
      <cdr:x>0.10262</cdr:x>
      <cdr:y>0.90593</cdr:y>
    </cdr:to>
    <cdr:grpSp>
      <cdr:nvGrpSpPr>
        <cdr:cNvPr id="2" name="Skupina 1">
          <a:extLst xmlns:a="http://schemas.openxmlformats.org/drawingml/2006/main">
            <a:ext uri="{FF2B5EF4-FFF2-40B4-BE49-F238E27FC236}">
              <a16:creationId xmlns:a16="http://schemas.microsoft.com/office/drawing/2014/main" id="{2A29B6B3-C2CB-4828-AA0C-0690E5B2B910}"/>
            </a:ext>
          </a:extLst>
        </cdr:cNvPr>
        <cdr:cNvGrpSpPr/>
      </cdr:nvGrpSpPr>
      <cdr:grpSpPr>
        <a:xfrm xmlns:a="http://schemas.openxmlformats.org/drawingml/2006/main">
          <a:off x="759363" y="5664207"/>
          <a:ext cx="230799" cy="108583"/>
          <a:chOff x="702227" y="5721357"/>
          <a:chExt cx="230827" cy="108552"/>
        </a:xfrm>
      </cdr:grpSpPr>
      <cdr:cxnSp macro="">
        <cdr:nvCxnSpPr>
          <cdr:cNvPr id="3" name="Přímá spojnice 2">
            <a:extLst xmlns:a="http://schemas.openxmlformats.org/drawingml/2006/main">
              <a:ext uri="{FF2B5EF4-FFF2-40B4-BE49-F238E27FC236}">
                <a16:creationId xmlns:a16="http://schemas.microsoft.com/office/drawing/2014/main" id="{10CAAAED-3901-4B6C-9837-93D956E8F0DD}"/>
              </a:ext>
            </a:extLst>
          </cdr:cNvPr>
          <cdr:cNvCxnSpPr/>
        </cdr:nvCxnSpPr>
        <cdr:spPr>
          <a:xfrm xmlns:a="http://schemas.openxmlformats.org/drawingml/2006/main" flipV="1">
            <a:off x="702227" y="5721357"/>
            <a:ext cx="227133" cy="53973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Přímá spojnice 4">
            <a:extLst xmlns:a="http://schemas.openxmlformats.org/drawingml/2006/main">
              <a:ext uri="{FF2B5EF4-FFF2-40B4-BE49-F238E27FC236}">
                <a16:creationId xmlns:a16="http://schemas.microsoft.com/office/drawing/2014/main" id="{77F835A7-3548-4B81-8DD5-2121262DD2CA}"/>
              </a:ext>
            </a:extLst>
          </cdr:cNvPr>
          <cdr:cNvCxnSpPr/>
        </cdr:nvCxnSpPr>
        <cdr:spPr>
          <a:xfrm xmlns:a="http://schemas.openxmlformats.org/drawingml/2006/main" flipV="1">
            <a:off x="705921" y="5775873"/>
            <a:ext cx="227133" cy="5403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60990</xdr:colOff>
      <xdr:row>4</xdr:row>
      <xdr:rowOff>12654</xdr:rowOff>
    </xdr:from>
    <xdr:to>
      <xdr:col>14</xdr:col>
      <xdr:colOff>802478</xdr:colOff>
      <xdr:row>20</xdr:row>
      <xdr:rowOff>72504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A49ED5EB-83D7-408D-A721-8DCE8F26B1A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68521</xdr:colOff>
      <xdr:row>23</xdr:row>
      <xdr:rowOff>82467</xdr:rowOff>
    </xdr:from>
    <xdr:to>
      <xdr:col>7</xdr:col>
      <xdr:colOff>559977</xdr:colOff>
      <xdr:row>39</xdr:row>
      <xdr:rowOff>142317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B8ADDC23-3DE7-4D67-81E2-1267757AEA5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71271</xdr:colOff>
      <xdr:row>23</xdr:row>
      <xdr:rowOff>82469</xdr:rowOff>
    </xdr:from>
    <xdr:to>
      <xdr:col>14</xdr:col>
      <xdr:colOff>812759</xdr:colOff>
      <xdr:row>39</xdr:row>
      <xdr:rowOff>142319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525CD82C-163F-4B24-93E9-B76458202BA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78846</xdr:colOff>
      <xdr:row>45</xdr:row>
      <xdr:rowOff>4536</xdr:rowOff>
    </xdr:from>
    <xdr:to>
      <xdr:col>7</xdr:col>
      <xdr:colOff>570302</xdr:colOff>
      <xdr:row>61</xdr:row>
      <xdr:rowOff>64386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6083B404-6466-4EC2-A571-0F5B0020E9D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71436</xdr:colOff>
      <xdr:row>45</xdr:row>
      <xdr:rowOff>6495</xdr:rowOff>
    </xdr:from>
    <xdr:to>
      <xdr:col>14</xdr:col>
      <xdr:colOff>812924</xdr:colOff>
      <xdr:row>61</xdr:row>
      <xdr:rowOff>66345</xdr:rowOff>
    </xdr:to>
    <xdr:graphicFrame macro="">
      <xdr:nvGraphicFramePr>
        <xdr:cNvPr id="7" name="Graf 2">
          <a:extLst>
            <a:ext uri="{FF2B5EF4-FFF2-40B4-BE49-F238E27FC236}">
              <a16:creationId xmlns:a16="http://schemas.microsoft.com/office/drawing/2014/main" id="{C896EB45-DFFC-476D-92E3-D605D4E6003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69653</xdr:colOff>
      <xdr:row>4</xdr:row>
      <xdr:rowOff>17317</xdr:rowOff>
    </xdr:from>
    <xdr:to>
      <xdr:col>7</xdr:col>
      <xdr:colOff>561109</xdr:colOff>
      <xdr:row>20</xdr:row>
      <xdr:rowOff>77167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60302FB6-BD0B-429A-B95A-9B3A9998F5E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1</xdr:col>
      <xdr:colOff>529826</xdr:colOff>
      <xdr:row>17</xdr:row>
      <xdr:rowOff>65485</xdr:rowOff>
    </xdr:from>
    <xdr:to>
      <xdr:col>2</xdr:col>
      <xdr:colOff>11706</xdr:colOff>
      <xdr:row>17</xdr:row>
      <xdr:rowOff>128750</xdr:rowOff>
    </xdr:to>
    <xdr:grpSp>
      <xdr:nvGrpSpPr>
        <xdr:cNvPr id="8" name="Skupina 7">
          <a:extLst>
            <a:ext uri="{FF2B5EF4-FFF2-40B4-BE49-F238E27FC236}">
              <a16:creationId xmlns:a16="http://schemas.microsoft.com/office/drawing/2014/main" id="{37DFA804-CE5B-409C-BDAD-A01BAC148792}"/>
            </a:ext>
          </a:extLst>
        </xdr:cNvPr>
        <xdr:cNvGrpSpPr>
          <a:grpSpLocks noChangeAspect="1"/>
        </xdr:cNvGrpSpPr>
      </xdr:nvGrpSpPr>
      <xdr:grpSpPr>
        <a:xfrm>
          <a:off x="779857" y="2970610"/>
          <a:ext cx="89099" cy="63265"/>
          <a:chOff x="0" y="0"/>
          <a:chExt cx="89099" cy="63267"/>
        </a:xfrm>
      </xdr:grpSpPr>
      <xdr:cxnSp macro="">
        <xdr:nvCxnSpPr>
          <xdr:cNvPr id="9" name="Přímá spojnice 8">
            <a:extLst>
              <a:ext uri="{FF2B5EF4-FFF2-40B4-BE49-F238E27FC236}">
                <a16:creationId xmlns:a16="http://schemas.microsoft.com/office/drawing/2014/main" id="{DA6B6565-ED9D-15AA-28B0-4FC3309C1C4B}"/>
              </a:ext>
            </a:extLst>
          </xdr:cNvPr>
          <xdr:cNvCxnSpPr/>
        </xdr:nvCxnSpPr>
        <xdr:spPr>
          <a:xfrm flipV="1">
            <a:off x="1486" y="0"/>
            <a:ext cx="87613" cy="29881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Přímá spojnice 9">
            <a:extLst>
              <a:ext uri="{FF2B5EF4-FFF2-40B4-BE49-F238E27FC236}">
                <a16:creationId xmlns:a16="http://schemas.microsoft.com/office/drawing/2014/main" id="{7B88E48E-798B-EA2B-088F-2B9D83D0EA64}"/>
              </a:ext>
            </a:extLst>
          </xdr:cNvPr>
          <xdr:cNvCxnSpPr/>
        </xdr:nvCxnSpPr>
        <xdr:spPr>
          <a:xfrm flipV="1">
            <a:off x="0" y="33386"/>
            <a:ext cx="87612" cy="29881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141286</xdr:colOff>
      <xdr:row>4</xdr:row>
      <xdr:rowOff>10318</xdr:rowOff>
    </xdr:from>
    <xdr:to>
      <xdr:col>9</xdr:col>
      <xdr:colOff>416836</xdr:colOff>
      <xdr:row>24</xdr:row>
      <xdr:rowOff>11818</xdr:rowOff>
    </xdr:to>
    <xdr:graphicFrame macro="">
      <xdr:nvGraphicFramePr>
        <xdr:cNvPr id="10" name="Graf 2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141286</xdr:colOff>
      <xdr:row>26</xdr:row>
      <xdr:rowOff>160425</xdr:rowOff>
    </xdr:from>
    <xdr:to>
      <xdr:col>9</xdr:col>
      <xdr:colOff>416836</xdr:colOff>
      <xdr:row>47</xdr:row>
      <xdr:rowOff>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249237</xdr:colOff>
      <xdr:row>4</xdr:row>
      <xdr:rowOff>18254</xdr:rowOff>
    </xdr:from>
    <xdr:to>
      <xdr:col>19</xdr:col>
      <xdr:colOff>162837</xdr:colOff>
      <xdr:row>24</xdr:row>
      <xdr:rowOff>19754</xdr:rowOff>
    </xdr:to>
    <xdr:graphicFrame macro="">
      <xdr:nvGraphicFramePr>
        <xdr:cNvPr id="11" name="Graf 3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252412</xdr:colOff>
      <xdr:row>26</xdr:row>
      <xdr:rowOff>150900</xdr:rowOff>
    </xdr:from>
    <xdr:to>
      <xdr:col>19</xdr:col>
      <xdr:colOff>166012</xdr:colOff>
      <xdr:row>46</xdr:row>
      <xdr:rowOff>152400</xdr:rowOff>
    </xdr:to>
    <xdr:graphicFrame macro="">
      <xdr:nvGraphicFramePr>
        <xdr:cNvPr id="12" name="Graf 4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141286</xdr:colOff>
      <xdr:row>53</xdr:row>
      <xdr:rowOff>37304</xdr:rowOff>
    </xdr:from>
    <xdr:to>
      <xdr:col>9</xdr:col>
      <xdr:colOff>416836</xdr:colOff>
      <xdr:row>73</xdr:row>
      <xdr:rowOff>38804</xdr:rowOff>
    </xdr:to>
    <xdr:graphicFrame macro="">
      <xdr:nvGraphicFramePr>
        <xdr:cNvPr id="13" name="Graf 5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265113</xdr:colOff>
      <xdr:row>53</xdr:row>
      <xdr:rowOff>53180</xdr:rowOff>
    </xdr:from>
    <xdr:to>
      <xdr:col>19</xdr:col>
      <xdr:colOff>178713</xdr:colOff>
      <xdr:row>73</xdr:row>
      <xdr:rowOff>54680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455613</xdr:colOff>
      <xdr:row>76</xdr:row>
      <xdr:rowOff>48418</xdr:rowOff>
    </xdr:from>
    <xdr:to>
      <xdr:col>14</xdr:col>
      <xdr:colOff>369213</xdr:colOff>
      <xdr:row>96</xdr:row>
      <xdr:rowOff>49918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0.13977</cdr:x>
      <cdr:y>0.81644</cdr:y>
    </cdr:from>
    <cdr:to>
      <cdr:x>0.16009</cdr:x>
      <cdr:y>0.84051</cdr:y>
    </cdr:to>
    <cdr:grpSp>
      <cdr:nvGrpSpPr>
        <cdr:cNvPr id="2" name="Skupina 1">
          <a:extLst xmlns:a="http://schemas.openxmlformats.org/drawingml/2006/main">
            <a:ext uri="{FF2B5EF4-FFF2-40B4-BE49-F238E27FC236}">
              <a16:creationId xmlns:a16="http://schemas.microsoft.com/office/drawing/2014/main" id="{2CE5D8AF-9062-498F-9B1C-CD1582E78CAE}"/>
            </a:ext>
          </a:extLst>
        </cdr:cNvPr>
        <cdr:cNvGrpSpPr/>
      </cdr:nvGrpSpPr>
      <cdr:grpSpPr>
        <a:xfrm xmlns:a="http://schemas.openxmlformats.org/drawingml/2006/main">
          <a:off x="612863" y="2148544"/>
          <a:ext cx="89100" cy="63342"/>
          <a:chOff x="0" y="0"/>
          <a:chExt cx="110586" cy="77028"/>
        </a:xfrm>
      </cdr:grpSpPr>
      <cdr:cxnSp macro="">
        <cdr:nvCxnSpPr>
          <cdr:cNvPr id="3" name="Přímá spojnice 2">
            <a:extLst xmlns:a="http://schemas.openxmlformats.org/drawingml/2006/main">
              <a:ext uri="{FF2B5EF4-FFF2-40B4-BE49-F238E27FC236}">
                <a16:creationId xmlns:a16="http://schemas.microsoft.com/office/drawing/2014/main" id="{4BD18744-4B42-4379-AF40-308949BE7886}"/>
              </a:ext>
            </a:extLst>
          </cdr:cNvPr>
          <cdr:cNvCxnSpPr/>
        </cdr:nvCxnSpPr>
        <cdr:spPr>
          <a:xfrm xmlns:a="http://schemas.openxmlformats.org/drawingml/2006/main" flipV="1">
            <a:off x="1845" y="0"/>
            <a:ext cx="108741" cy="36397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rgbClr val="FF0000"/>
            </a:solidFill>
          </a:ln>
        </cdr:spPr>
        <cdr:style>
          <a:lnRef xmlns:a="http://schemas.openxmlformats.org/drawingml/2006/main" idx="2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1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Přímá spojnice 3">
            <a:extLst xmlns:a="http://schemas.openxmlformats.org/drawingml/2006/main">
              <a:ext uri="{FF2B5EF4-FFF2-40B4-BE49-F238E27FC236}">
                <a16:creationId xmlns:a16="http://schemas.microsoft.com/office/drawing/2014/main" id="{F9CCAA0F-B96E-41F2-A664-816081D29409}"/>
              </a:ext>
            </a:extLst>
          </cdr:cNvPr>
          <cdr:cNvCxnSpPr/>
        </cdr:nvCxnSpPr>
        <cdr:spPr>
          <a:xfrm xmlns:a="http://schemas.openxmlformats.org/drawingml/2006/main" flipV="1">
            <a:off x="0" y="40631"/>
            <a:ext cx="108740" cy="36397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rgbClr val="FF0000"/>
            </a:solidFill>
          </a:ln>
        </cdr:spPr>
        <cdr:style>
          <a:lnRef xmlns:a="http://schemas.openxmlformats.org/drawingml/2006/main" idx="2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1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169863</xdr:colOff>
      <xdr:row>3</xdr:row>
      <xdr:rowOff>143668</xdr:rowOff>
    </xdr:from>
    <xdr:to>
      <xdr:col>9</xdr:col>
      <xdr:colOff>445413</xdr:colOff>
      <xdr:row>23</xdr:row>
      <xdr:rowOff>145168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238125</xdr:colOff>
      <xdr:row>3</xdr:row>
      <xdr:rowOff>142875</xdr:rowOff>
    </xdr:from>
    <xdr:to>
      <xdr:col>19</xdr:col>
      <xdr:colOff>151725</xdr:colOff>
      <xdr:row>23</xdr:row>
      <xdr:rowOff>144375</xdr:rowOff>
    </xdr:to>
    <xdr:graphicFrame macro="">
      <xdr:nvGraphicFramePr>
        <xdr:cNvPr id="12" name="Graf 1">
          <a:extLst>
            <a:ext uri="{FF2B5EF4-FFF2-40B4-BE49-F238E27FC236}">
              <a16:creationId xmlns:a16="http://schemas.microsoft.com/office/drawing/2014/main" id="{00000000-0008-0000-2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27</xdr:row>
      <xdr:rowOff>0</xdr:rowOff>
    </xdr:from>
    <xdr:to>
      <xdr:col>9</xdr:col>
      <xdr:colOff>447000</xdr:colOff>
      <xdr:row>47</xdr:row>
      <xdr:rowOff>1500</xdr:rowOff>
    </xdr:to>
    <xdr:graphicFrame macro="">
      <xdr:nvGraphicFramePr>
        <xdr:cNvPr id="13" name="Graf 1">
          <a:extLst>
            <a:ext uri="{FF2B5EF4-FFF2-40B4-BE49-F238E27FC236}">
              <a16:creationId xmlns:a16="http://schemas.microsoft.com/office/drawing/2014/main" id="{00000000-0008-0000-2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219075</xdr:colOff>
      <xdr:row>26</xdr:row>
      <xdr:rowOff>142875</xdr:rowOff>
    </xdr:from>
    <xdr:to>
      <xdr:col>19</xdr:col>
      <xdr:colOff>132675</xdr:colOff>
      <xdr:row>46</xdr:row>
      <xdr:rowOff>144375</xdr:rowOff>
    </xdr:to>
    <xdr:graphicFrame macro="">
      <xdr:nvGraphicFramePr>
        <xdr:cNvPr id="14" name="Graf 1">
          <a:extLst>
            <a:ext uri="{FF2B5EF4-FFF2-40B4-BE49-F238E27FC236}">
              <a16:creationId xmlns:a16="http://schemas.microsoft.com/office/drawing/2014/main" id="{00000000-0008-0000-2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200025</xdr:colOff>
      <xdr:row>52</xdr:row>
      <xdr:rowOff>0</xdr:rowOff>
    </xdr:from>
    <xdr:to>
      <xdr:col>9</xdr:col>
      <xdr:colOff>475575</xdr:colOff>
      <xdr:row>72</xdr:row>
      <xdr:rowOff>1500</xdr:rowOff>
    </xdr:to>
    <xdr:graphicFrame macro="">
      <xdr:nvGraphicFramePr>
        <xdr:cNvPr id="15" name="Graf 1">
          <a:extLst>
            <a:ext uri="{FF2B5EF4-FFF2-40B4-BE49-F238E27FC236}">
              <a16:creationId xmlns:a16="http://schemas.microsoft.com/office/drawing/2014/main" id="{00000000-0008-0000-2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238125</xdr:colOff>
      <xdr:row>51</xdr:row>
      <xdr:rowOff>152400</xdr:rowOff>
    </xdr:from>
    <xdr:to>
      <xdr:col>19</xdr:col>
      <xdr:colOff>151725</xdr:colOff>
      <xdr:row>71</xdr:row>
      <xdr:rowOff>153900</xdr:rowOff>
    </xdr:to>
    <xdr:graphicFrame macro="">
      <xdr:nvGraphicFramePr>
        <xdr:cNvPr id="16" name="Graf 1">
          <a:extLst>
            <a:ext uri="{FF2B5EF4-FFF2-40B4-BE49-F238E27FC236}">
              <a16:creationId xmlns:a16="http://schemas.microsoft.com/office/drawing/2014/main" id="{00000000-0008-0000-2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352425</xdr:colOff>
      <xdr:row>75</xdr:row>
      <xdr:rowOff>104775</xdr:rowOff>
    </xdr:from>
    <xdr:to>
      <xdr:col>14</xdr:col>
      <xdr:colOff>266025</xdr:colOff>
      <xdr:row>95</xdr:row>
      <xdr:rowOff>106275</xdr:rowOff>
    </xdr:to>
    <xdr:graphicFrame macro="">
      <xdr:nvGraphicFramePr>
        <xdr:cNvPr id="17" name="Graf 1">
          <a:extLst>
            <a:ext uri="{FF2B5EF4-FFF2-40B4-BE49-F238E27FC236}">
              <a16:creationId xmlns:a16="http://schemas.microsoft.com/office/drawing/2014/main" id="{00000000-0008-0000-2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141286</xdr:colOff>
      <xdr:row>4</xdr:row>
      <xdr:rowOff>10318</xdr:rowOff>
    </xdr:from>
    <xdr:to>
      <xdr:col>9</xdr:col>
      <xdr:colOff>416836</xdr:colOff>
      <xdr:row>24</xdr:row>
      <xdr:rowOff>11818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141286</xdr:colOff>
      <xdr:row>26</xdr:row>
      <xdr:rowOff>160425</xdr:rowOff>
    </xdr:from>
    <xdr:to>
      <xdr:col>9</xdr:col>
      <xdr:colOff>416836</xdr:colOff>
      <xdr:row>47</xdr:row>
      <xdr:rowOff>0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249237</xdr:colOff>
      <xdr:row>4</xdr:row>
      <xdr:rowOff>18254</xdr:rowOff>
    </xdr:from>
    <xdr:to>
      <xdr:col>19</xdr:col>
      <xdr:colOff>162837</xdr:colOff>
      <xdr:row>24</xdr:row>
      <xdr:rowOff>19754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252412</xdr:colOff>
      <xdr:row>26</xdr:row>
      <xdr:rowOff>150900</xdr:rowOff>
    </xdr:from>
    <xdr:to>
      <xdr:col>19</xdr:col>
      <xdr:colOff>166012</xdr:colOff>
      <xdr:row>46</xdr:row>
      <xdr:rowOff>152400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141286</xdr:colOff>
      <xdr:row>53</xdr:row>
      <xdr:rowOff>37304</xdr:rowOff>
    </xdr:from>
    <xdr:to>
      <xdr:col>9</xdr:col>
      <xdr:colOff>416836</xdr:colOff>
      <xdr:row>73</xdr:row>
      <xdr:rowOff>38804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265113</xdr:colOff>
      <xdr:row>53</xdr:row>
      <xdr:rowOff>53180</xdr:rowOff>
    </xdr:from>
    <xdr:to>
      <xdr:col>19</xdr:col>
      <xdr:colOff>178713</xdr:colOff>
      <xdr:row>73</xdr:row>
      <xdr:rowOff>54680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455613</xdr:colOff>
      <xdr:row>76</xdr:row>
      <xdr:rowOff>48418</xdr:rowOff>
    </xdr:from>
    <xdr:to>
      <xdr:col>14</xdr:col>
      <xdr:colOff>369213</xdr:colOff>
      <xdr:row>96</xdr:row>
      <xdr:rowOff>49918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169863</xdr:colOff>
      <xdr:row>3</xdr:row>
      <xdr:rowOff>143668</xdr:rowOff>
    </xdr:from>
    <xdr:to>
      <xdr:col>9</xdr:col>
      <xdr:colOff>445413</xdr:colOff>
      <xdr:row>23</xdr:row>
      <xdr:rowOff>145168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238125</xdr:colOff>
      <xdr:row>3</xdr:row>
      <xdr:rowOff>142875</xdr:rowOff>
    </xdr:from>
    <xdr:to>
      <xdr:col>19</xdr:col>
      <xdr:colOff>151725</xdr:colOff>
      <xdr:row>23</xdr:row>
      <xdr:rowOff>144375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27</xdr:row>
      <xdr:rowOff>0</xdr:rowOff>
    </xdr:from>
    <xdr:to>
      <xdr:col>9</xdr:col>
      <xdr:colOff>447000</xdr:colOff>
      <xdr:row>47</xdr:row>
      <xdr:rowOff>1500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219075</xdr:colOff>
      <xdr:row>26</xdr:row>
      <xdr:rowOff>142875</xdr:rowOff>
    </xdr:from>
    <xdr:to>
      <xdr:col>19</xdr:col>
      <xdr:colOff>132675</xdr:colOff>
      <xdr:row>46</xdr:row>
      <xdr:rowOff>144375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200025</xdr:colOff>
      <xdr:row>52</xdr:row>
      <xdr:rowOff>0</xdr:rowOff>
    </xdr:from>
    <xdr:to>
      <xdr:col>9</xdr:col>
      <xdr:colOff>475575</xdr:colOff>
      <xdr:row>72</xdr:row>
      <xdr:rowOff>1500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238125</xdr:colOff>
      <xdr:row>51</xdr:row>
      <xdr:rowOff>152400</xdr:rowOff>
    </xdr:from>
    <xdr:to>
      <xdr:col>19</xdr:col>
      <xdr:colOff>151725</xdr:colOff>
      <xdr:row>71</xdr:row>
      <xdr:rowOff>153900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352425</xdr:colOff>
      <xdr:row>75</xdr:row>
      <xdr:rowOff>104775</xdr:rowOff>
    </xdr:from>
    <xdr:to>
      <xdr:col>14</xdr:col>
      <xdr:colOff>266025</xdr:colOff>
      <xdr:row>95</xdr:row>
      <xdr:rowOff>106275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141286</xdr:colOff>
      <xdr:row>4</xdr:row>
      <xdr:rowOff>10318</xdr:rowOff>
    </xdr:from>
    <xdr:to>
      <xdr:col>9</xdr:col>
      <xdr:colOff>416836</xdr:colOff>
      <xdr:row>24</xdr:row>
      <xdr:rowOff>11818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141286</xdr:colOff>
      <xdr:row>26</xdr:row>
      <xdr:rowOff>160425</xdr:rowOff>
    </xdr:from>
    <xdr:to>
      <xdr:col>9</xdr:col>
      <xdr:colOff>416836</xdr:colOff>
      <xdr:row>47</xdr:row>
      <xdr:rowOff>0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249237</xdr:colOff>
      <xdr:row>4</xdr:row>
      <xdr:rowOff>18254</xdr:rowOff>
    </xdr:from>
    <xdr:to>
      <xdr:col>19</xdr:col>
      <xdr:colOff>162837</xdr:colOff>
      <xdr:row>24</xdr:row>
      <xdr:rowOff>19754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252412</xdr:colOff>
      <xdr:row>26</xdr:row>
      <xdr:rowOff>150900</xdr:rowOff>
    </xdr:from>
    <xdr:to>
      <xdr:col>19</xdr:col>
      <xdr:colOff>166012</xdr:colOff>
      <xdr:row>46</xdr:row>
      <xdr:rowOff>152400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141286</xdr:colOff>
      <xdr:row>53</xdr:row>
      <xdr:rowOff>37304</xdr:rowOff>
    </xdr:from>
    <xdr:to>
      <xdr:col>9</xdr:col>
      <xdr:colOff>416836</xdr:colOff>
      <xdr:row>73</xdr:row>
      <xdr:rowOff>38804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265113</xdr:colOff>
      <xdr:row>53</xdr:row>
      <xdr:rowOff>53180</xdr:rowOff>
    </xdr:from>
    <xdr:to>
      <xdr:col>19</xdr:col>
      <xdr:colOff>178713</xdr:colOff>
      <xdr:row>73</xdr:row>
      <xdr:rowOff>54680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455613</xdr:colOff>
      <xdr:row>76</xdr:row>
      <xdr:rowOff>48418</xdr:rowOff>
    </xdr:from>
    <xdr:to>
      <xdr:col>14</xdr:col>
      <xdr:colOff>369213</xdr:colOff>
      <xdr:row>96</xdr:row>
      <xdr:rowOff>49918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2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169863</xdr:colOff>
      <xdr:row>3</xdr:row>
      <xdr:rowOff>143668</xdr:rowOff>
    </xdr:from>
    <xdr:to>
      <xdr:col>9</xdr:col>
      <xdr:colOff>445413</xdr:colOff>
      <xdr:row>23</xdr:row>
      <xdr:rowOff>145168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238125</xdr:colOff>
      <xdr:row>3</xdr:row>
      <xdr:rowOff>142875</xdr:rowOff>
    </xdr:from>
    <xdr:to>
      <xdr:col>19</xdr:col>
      <xdr:colOff>151725</xdr:colOff>
      <xdr:row>23</xdr:row>
      <xdr:rowOff>144375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27</xdr:row>
      <xdr:rowOff>0</xdr:rowOff>
    </xdr:from>
    <xdr:to>
      <xdr:col>9</xdr:col>
      <xdr:colOff>447000</xdr:colOff>
      <xdr:row>47</xdr:row>
      <xdr:rowOff>1500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219075</xdr:colOff>
      <xdr:row>26</xdr:row>
      <xdr:rowOff>142875</xdr:rowOff>
    </xdr:from>
    <xdr:to>
      <xdr:col>19</xdr:col>
      <xdr:colOff>132675</xdr:colOff>
      <xdr:row>46</xdr:row>
      <xdr:rowOff>144375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00000000-0008-0000-2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200025</xdr:colOff>
      <xdr:row>52</xdr:row>
      <xdr:rowOff>0</xdr:rowOff>
    </xdr:from>
    <xdr:to>
      <xdr:col>9</xdr:col>
      <xdr:colOff>475575</xdr:colOff>
      <xdr:row>72</xdr:row>
      <xdr:rowOff>1500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00000000-0008-0000-2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238125</xdr:colOff>
      <xdr:row>51</xdr:row>
      <xdr:rowOff>152400</xdr:rowOff>
    </xdr:from>
    <xdr:to>
      <xdr:col>19</xdr:col>
      <xdr:colOff>151725</xdr:colOff>
      <xdr:row>71</xdr:row>
      <xdr:rowOff>153900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00000000-0008-0000-2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352425</xdr:colOff>
      <xdr:row>75</xdr:row>
      <xdr:rowOff>104775</xdr:rowOff>
    </xdr:from>
    <xdr:to>
      <xdr:col>14</xdr:col>
      <xdr:colOff>266025</xdr:colOff>
      <xdr:row>95</xdr:row>
      <xdr:rowOff>106275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00000000-0008-0000-2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169863</xdr:colOff>
      <xdr:row>3</xdr:row>
      <xdr:rowOff>143668</xdr:rowOff>
    </xdr:from>
    <xdr:to>
      <xdr:col>9</xdr:col>
      <xdr:colOff>445413</xdr:colOff>
      <xdr:row>23</xdr:row>
      <xdr:rowOff>145168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238125</xdr:colOff>
      <xdr:row>3</xdr:row>
      <xdr:rowOff>142875</xdr:rowOff>
    </xdr:from>
    <xdr:to>
      <xdr:col>19</xdr:col>
      <xdr:colOff>151725</xdr:colOff>
      <xdr:row>23</xdr:row>
      <xdr:rowOff>144375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27</xdr:row>
      <xdr:rowOff>0</xdr:rowOff>
    </xdr:from>
    <xdr:to>
      <xdr:col>9</xdr:col>
      <xdr:colOff>447000</xdr:colOff>
      <xdr:row>47</xdr:row>
      <xdr:rowOff>1500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219075</xdr:colOff>
      <xdr:row>26</xdr:row>
      <xdr:rowOff>142875</xdr:rowOff>
    </xdr:from>
    <xdr:to>
      <xdr:col>19</xdr:col>
      <xdr:colOff>132675</xdr:colOff>
      <xdr:row>46</xdr:row>
      <xdr:rowOff>144375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00000000-0008-0000-2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200025</xdr:colOff>
      <xdr:row>52</xdr:row>
      <xdr:rowOff>0</xdr:rowOff>
    </xdr:from>
    <xdr:to>
      <xdr:col>9</xdr:col>
      <xdr:colOff>475575</xdr:colOff>
      <xdr:row>72</xdr:row>
      <xdr:rowOff>1500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00000000-0008-0000-2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238125</xdr:colOff>
      <xdr:row>51</xdr:row>
      <xdr:rowOff>152400</xdr:rowOff>
    </xdr:from>
    <xdr:to>
      <xdr:col>19</xdr:col>
      <xdr:colOff>151725</xdr:colOff>
      <xdr:row>71</xdr:row>
      <xdr:rowOff>153900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00000000-0008-0000-2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352425</xdr:colOff>
      <xdr:row>75</xdr:row>
      <xdr:rowOff>104775</xdr:rowOff>
    </xdr:from>
    <xdr:to>
      <xdr:col>14</xdr:col>
      <xdr:colOff>266025</xdr:colOff>
      <xdr:row>95</xdr:row>
      <xdr:rowOff>106275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00000000-0008-0000-2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73937</xdr:colOff>
      <xdr:row>2</xdr:row>
      <xdr:rowOff>114822</xdr:rowOff>
    </xdr:from>
    <xdr:to>
      <xdr:col>7</xdr:col>
      <xdr:colOff>565393</xdr:colOff>
      <xdr:row>19</xdr:row>
      <xdr:rowOff>13563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3D4F26D1-9E82-4BBD-B1B6-713068E5BFB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63791</xdr:colOff>
      <xdr:row>19</xdr:row>
      <xdr:rowOff>164416</xdr:rowOff>
    </xdr:from>
    <xdr:to>
      <xdr:col>7</xdr:col>
      <xdr:colOff>555247</xdr:colOff>
      <xdr:row>36</xdr:row>
      <xdr:rowOff>55863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20621BC2-0672-4BDF-A979-ED086BE5D71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140769</xdr:colOff>
      <xdr:row>2</xdr:row>
      <xdr:rowOff>114548</xdr:rowOff>
    </xdr:from>
    <xdr:to>
      <xdr:col>14</xdr:col>
      <xdr:colOff>880427</xdr:colOff>
      <xdr:row>19</xdr:row>
      <xdr:rowOff>14702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57A0FD35-EBC1-4377-99CB-30545F080A1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140038</xdr:colOff>
      <xdr:row>19</xdr:row>
      <xdr:rowOff>159680</xdr:rowOff>
    </xdr:from>
    <xdr:to>
      <xdr:col>14</xdr:col>
      <xdr:colOff>881526</xdr:colOff>
      <xdr:row>36</xdr:row>
      <xdr:rowOff>49714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908FFC12-2B5F-4CF1-829A-8A3D1C60C2B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76686</xdr:colOff>
      <xdr:row>39</xdr:row>
      <xdr:rowOff>72378</xdr:rowOff>
    </xdr:from>
    <xdr:to>
      <xdr:col>7</xdr:col>
      <xdr:colOff>568142</xdr:colOff>
      <xdr:row>55</xdr:row>
      <xdr:rowOff>132228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DFB14D73-FB98-477E-A8E4-3DAB62AA29E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144022</xdr:colOff>
      <xdr:row>39</xdr:row>
      <xdr:rowOff>71778</xdr:rowOff>
    </xdr:from>
    <xdr:to>
      <xdr:col>14</xdr:col>
      <xdr:colOff>885510</xdr:colOff>
      <xdr:row>55</xdr:row>
      <xdr:rowOff>131628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180FC863-92A0-4539-8442-0A640EC87B5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308382</xdr:colOff>
      <xdr:row>57</xdr:row>
      <xdr:rowOff>37839</xdr:rowOff>
    </xdr:from>
    <xdr:to>
      <xdr:col>11</xdr:col>
      <xdr:colOff>442651</xdr:colOff>
      <xdr:row>73</xdr:row>
      <xdr:rowOff>97690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235A50FB-829D-4F57-88B0-824AA771D56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57945</xdr:colOff>
      <xdr:row>2</xdr:row>
      <xdr:rowOff>85328</xdr:rowOff>
    </xdr:from>
    <xdr:to>
      <xdr:col>7</xdr:col>
      <xdr:colOff>549401</xdr:colOff>
      <xdr:row>18</xdr:row>
      <xdr:rowOff>149940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8B6FC42-9E56-4BA3-93B5-8C6B88B0CF5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128586</xdr:colOff>
      <xdr:row>2</xdr:row>
      <xdr:rowOff>79773</xdr:rowOff>
    </xdr:from>
    <xdr:to>
      <xdr:col>14</xdr:col>
      <xdr:colOff>870074</xdr:colOff>
      <xdr:row>18</xdr:row>
      <xdr:rowOff>145575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ED189291-0100-4DC2-9D03-9E280CCC08B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61913</xdr:colOff>
      <xdr:row>19</xdr:row>
      <xdr:rowOff>148828</xdr:rowOff>
    </xdr:from>
    <xdr:to>
      <xdr:col>7</xdr:col>
      <xdr:colOff>553369</xdr:colOff>
      <xdr:row>36</xdr:row>
      <xdr:rowOff>41990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01DEC30E-0B0D-481E-BBC2-EE22B03E087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139302</xdr:colOff>
      <xdr:row>19</xdr:row>
      <xdr:rowOff>135731</xdr:rowOff>
    </xdr:from>
    <xdr:to>
      <xdr:col>14</xdr:col>
      <xdr:colOff>880790</xdr:colOff>
      <xdr:row>36</xdr:row>
      <xdr:rowOff>28893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49D1DECF-B3AB-4B4C-8A5D-D12C69D4938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64294</xdr:colOff>
      <xdr:row>39</xdr:row>
      <xdr:rowOff>119062</xdr:rowOff>
    </xdr:from>
    <xdr:to>
      <xdr:col>7</xdr:col>
      <xdr:colOff>555750</xdr:colOff>
      <xdr:row>56</xdr:row>
      <xdr:rowOff>16987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323A087F-C14B-4219-90E9-B85BAB0DE21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126205</xdr:colOff>
      <xdr:row>39</xdr:row>
      <xdr:rowOff>116682</xdr:rowOff>
    </xdr:from>
    <xdr:to>
      <xdr:col>14</xdr:col>
      <xdr:colOff>867693</xdr:colOff>
      <xdr:row>56</xdr:row>
      <xdr:rowOff>14607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23B3DACB-50A2-4FA2-9317-FD2C9EEEEE3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247652</xdr:colOff>
      <xdr:row>57</xdr:row>
      <xdr:rowOff>54771</xdr:rowOff>
    </xdr:from>
    <xdr:to>
      <xdr:col>11</xdr:col>
      <xdr:colOff>381921</xdr:colOff>
      <xdr:row>73</xdr:row>
      <xdr:rowOff>120574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E2DC8890-701D-49E9-A8BF-05866ABF623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67786</xdr:colOff>
      <xdr:row>3</xdr:row>
      <xdr:rowOff>18097</xdr:rowOff>
    </xdr:from>
    <xdr:to>
      <xdr:col>7</xdr:col>
      <xdr:colOff>559242</xdr:colOff>
      <xdr:row>19</xdr:row>
      <xdr:rowOff>77947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6780264-C9C5-4A00-BCE8-66E1543DFBE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59530</xdr:colOff>
      <xdr:row>3</xdr:row>
      <xdr:rowOff>22382</xdr:rowOff>
    </xdr:from>
    <xdr:to>
      <xdr:col>14</xdr:col>
      <xdr:colOff>801018</xdr:colOff>
      <xdr:row>19</xdr:row>
      <xdr:rowOff>82232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4851E5D7-EB7E-482B-AEFE-DADB3AD3275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46434</xdr:colOff>
      <xdr:row>21</xdr:row>
      <xdr:rowOff>41273</xdr:rowOff>
    </xdr:from>
    <xdr:to>
      <xdr:col>7</xdr:col>
      <xdr:colOff>537890</xdr:colOff>
      <xdr:row>38</xdr:row>
      <xdr:rowOff>23732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3CADB6FF-0BB6-45B9-B944-B147E8913AB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54134</xdr:colOff>
      <xdr:row>21</xdr:row>
      <xdr:rowOff>41274</xdr:rowOff>
    </xdr:from>
    <xdr:to>
      <xdr:col>14</xdr:col>
      <xdr:colOff>795622</xdr:colOff>
      <xdr:row>38</xdr:row>
      <xdr:rowOff>23733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74212E9A-95F3-4884-89DF-F21ACE95DE9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52070</xdr:colOff>
      <xdr:row>43</xdr:row>
      <xdr:rowOff>27464</xdr:rowOff>
    </xdr:from>
    <xdr:to>
      <xdr:col>7</xdr:col>
      <xdr:colOff>543526</xdr:colOff>
      <xdr:row>59</xdr:row>
      <xdr:rowOff>87314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687649D6-8D3E-4170-B2F8-98DF42405AE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80725</xdr:colOff>
      <xdr:row>43</xdr:row>
      <xdr:rowOff>19130</xdr:rowOff>
    </xdr:from>
    <xdr:to>
      <xdr:col>14</xdr:col>
      <xdr:colOff>822213</xdr:colOff>
      <xdr:row>59</xdr:row>
      <xdr:rowOff>78980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1E53C1A7-3ED0-43F6-819C-C7C11E7F1FD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266461</xdr:colOff>
      <xdr:row>61</xdr:row>
      <xdr:rowOff>79138</xdr:rowOff>
    </xdr:from>
    <xdr:to>
      <xdr:col>11</xdr:col>
      <xdr:colOff>400730</xdr:colOff>
      <xdr:row>77</xdr:row>
      <xdr:rowOff>138988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6DB38294-8DD3-4DDD-ABD1-5E9452CFCE1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73937</xdr:colOff>
      <xdr:row>2</xdr:row>
      <xdr:rowOff>114822</xdr:rowOff>
    </xdr:from>
    <xdr:to>
      <xdr:col>7</xdr:col>
      <xdr:colOff>565393</xdr:colOff>
      <xdr:row>19</xdr:row>
      <xdr:rowOff>13563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AC7B4DF8-2C39-4B5F-BCF9-E6AC6FF7D39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63791</xdr:colOff>
      <xdr:row>19</xdr:row>
      <xdr:rowOff>164416</xdr:rowOff>
    </xdr:from>
    <xdr:to>
      <xdr:col>7</xdr:col>
      <xdr:colOff>555247</xdr:colOff>
      <xdr:row>36</xdr:row>
      <xdr:rowOff>55863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6C60DC19-9D15-4F26-97DF-BE091FDCB70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99098</xdr:colOff>
      <xdr:row>2</xdr:row>
      <xdr:rowOff>114548</xdr:rowOff>
    </xdr:from>
    <xdr:to>
      <xdr:col>14</xdr:col>
      <xdr:colOff>838756</xdr:colOff>
      <xdr:row>19</xdr:row>
      <xdr:rowOff>14702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3C2191E-DAF1-41A8-A131-5309F74CF70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110273</xdr:colOff>
      <xdr:row>19</xdr:row>
      <xdr:rowOff>159680</xdr:rowOff>
    </xdr:from>
    <xdr:to>
      <xdr:col>14</xdr:col>
      <xdr:colOff>842236</xdr:colOff>
      <xdr:row>36</xdr:row>
      <xdr:rowOff>49714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71BE8F80-D5B7-4685-A18A-1BA3D2CE9BC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76686</xdr:colOff>
      <xdr:row>39</xdr:row>
      <xdr:rowOff>72378</xdr:rowOff>
    </xdr:from>
    <xdr:to>
      <xdr:col>7</xdr:col>
      <xdr:colOff>568142</xdr:colOff>
      <xdr:row>55</xdr:row>
      <xdr:rowOff>132228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37062DEB-750D-4C39-8795-17653CBEC6F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108304</xdr:colOff>
      <xdr:row>39</xdr:row>
      <xdr:rowOff>71778</xdr:rowOff>
    </xdr:from>
    <xdr:to>
      <xdr:col>14</xdr:col>
      <xdr:colOff>840267</xdr:colOff>
      <xdr:row>55</xdr:row>
      <xdr:rowOff>131628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7A8F24BF-397E-40D3-B5A7-1E1D924BE27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308382</xdr:colOff>
      <xdr:row>57</xdr:row>
      <xdr:rowOff>55698</xdr:rowOff>
    </xdr:from>
    <xdr:to>
      <xdr:col>11</xdr:col>
      <xdr:colOff>442651</xdr:colOff>
      <xdr:row>73</xdr:row>
      <xdr:rowOff>115549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B03BEBFD-E5AC-417E-9FE5-4674A7C84A3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0.16134</cdr:x>
      <cdr:y>0.81871</cdr:y>
    </cdr:from>
    <cdr:ext cx="89099" cy="63315"/>
    <cdr:grpSp>
      <cdr:nvGrpSpPr>
        <cdr:cNvPr id="2" name="Skupina 1">
          <a:extLst xmlns:a="http://schemas.openxmlformats.org/drawingml/2006/main">
            <a:ext uri="{FF2B5EF4-FFF2-40B4-BE49-F238E27FC236}">
              <a16:creationId xmlns:a16="http://schemas.microsoft.com/office/drawing/2014/main" id="{2CE5D8AF-9062-498F-9B1C-CD1582E78CAE}"/>
            </a:ext>
          </a:extLst>
        </cdr:cNvPr>
        <cdr:cNvGrpSpPr/>
      </cdr:nvGrpSpPr>
      <cdr:grpSpPr>
        <a:xfrm xmlns:a="http://schemas.openxmlformats.org/drawingml/2006/main">
          <a:off x="707444" y="2154517"/>
          <a:ext cx="89099" cy="63315"/>
          <a:chOff x="0" y="0"/>
          <a:chExt cx="110586" cy="77028"/>
        </a:xfrm>
      </cdr:grpSpPr>
      <cdr:cxnSp macro="">
        <cdr:nvCxnSpPr>
          <cdr:cNvPr id="3" name="Přímá spojnice 2">
            <a:extLst xmlns:a="http://schemas.openxmlformats.org/drawingml/2006/main">
              <a:ext uri="{FF2B5EF4-FFF2-40B4-BE49-F238E27FC236}">
                <a16:creationId xmlns:a16="http://schemas.microsoft.com/office/drawing/2014/main" id="{4BD18744-4B42-4379-AF40-308949BE7886}"/>
              </a:ext>
            </a:extLst>
          </cdr:cNvPr>
          <cdr:cNvCxnSpPr/>
        </cdr:nvCxnSpPr>
        <cdr:spPr>
          <a:xfrm xmlns:a="http://schemas.openxmlformats.org/drawingml/2006/main" flipV="1">
            <a:off x="1845" y="0"/>
            <a:ext cx="108741" cy="36397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rgbClr val="FF0000"/>
            </a:solidFill>
          </a:ln>
        </cdr:spPr>
        <cdr:style>
          <a:lnRef xmlns:a="http://schemas.openxmlformats.org/drawingml/2006/main" idx="2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1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Přímá spojnice 3">
            <a:extLst xmlns:a="http://schemas.openxmlformats.org/drawingml/2006/main">
              <a:ext uri="{FF2B5EF4-FFF2-40B4-BE49-F238E27FC236}">
                <a16:creationId xmlns:a16="http://schemas.microsoft.com/office/drawing/2014/main" id="{F9CCAA0F-B96E-41F2-A664-816081D29409}"/>
              </a:ext>
            </a:extLst>
          </cdr:cNvPr>
          <cdr:cNvCxnSpPr/>
        </cdr:nvCxnSpPr>
        <cdr:spPr>
          <a:xfrm xmlns:a="http://schemas.openxmlformats.org/drawingml/2006/main" flipV="1">
            <a:off x="0" y="40631"/>
            <a:ext cx="108740" cy="36397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rgbClr val="FF0000"/>
            </a:solidFill>
          </a:ln>
        </cdr:spPr>
        <cdr:style>
          <a:lnRef xmlns:a="http://schemas.openxmlformats.org/drawingml/2006/main" idx="2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1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abs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57945</xdr:colOff>
      <xdr:row>2</xdr:row>
      <xdr:rowOff>85328</xdr:rowOff>
    </xdr:from>
    <xdr:to>
      <xdr:col>7</xdr:col>
      <xdr:colOff>549401</xdr:colOff>
      <xdr:row>18</xdr:row>
      <xdr:rowOff>149940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09C0BFC-C792-4E85-847F-3467E231A7C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92868</xdr:colOff>
      <xdr:row>2</xdr:row>
      <xdr:rowOff>79773</xdr:rowOff>
    </xdr:from>
    <xdr:to>
      <xdr:col>14</xdr:col>
      <xdr:colOff>834356</xdr:colOff>
      <xdr:row>18</xdr:row>
      <xdr:rowOff>145575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AEFC14-90F3-4CA5-A73B-FFBDCCA63A7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61913</xdr:colOff>
      <xdr:row>19</xdr:row>
      <xdr:rowOff>148828</xdr:rowOff>
    </xdr:from>
    <xdr:to>
      <xdr:col>7</xdr:col>
      <xdr:colOff>553369</xdr:colOff>
      <xdr:row>36</xdr:row>
      <xdr:rowOff>41990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A9DB7DEC-2723-48DD-A38E-335FE8DA99C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91678</xdr:colOff>
      <xdr:row>19</xdr:row>
      <xdr:rowOff>135731</xdr:rowOff>
    </xdr:from>
    <xdr:to>
      <xdr:col>14</xdr:col>
      <xdr:colOff>833166</xdr:colOff>
      <xdr:row>36</xdr:row>
      <xdr:rowOff>28893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A670CEBF-76B9-43CE-A1FE-0D405BA8241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64294</xdr:colOff>
      <xdr:row>39</xdr:row>
      <xdr:rowOff>119062</xdr:rowOff>
    </xdr:from>
    <xdr:to>
      <xdr:col>7</xdr:col>
      <xdr:colOff>555750</xdr:colOff>
      <xdr:row>56</xdr:row>
      <xdr:rowOff>16987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04CDA36B-B565-443C-B3FF-48FDD39EA82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90487</xdr:colOff>
      <xdr:row>39</xdr:row>
      <xdr:rowOff>116682</xdr:rowOff>
    </xdr:from>
    <xdr:to>
      <xdr:col>14</xdr:col>
      <xdr:colOff>831975</xdr:colOff>
      <xdr:row>56</xdr:row>
      <xdr:rowOff>14607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F85CBA13-11E1-4A02-817B-8D3411FA640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247652</xdr:colOff>
      <xdr:row>57</xdr:row>
      <xdr:rowOff>102395</xdr:rowOff>
    </xdr:from>
    <xdr:to>
      <xdr:col>11</xdr:col>
      <xdr:colOff>381921</xdr:colOff>
      <xdr:row>74</xdr:row>
      <xdr:rowOff>7464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4C6E4123-3FB9-4EF2-AFDE-E4C455787FC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67786</xdr:colOff>
      <xdr:row>3</xdr:row>
      <xdr:rowOff>18097</xdr:rowOff>
    </xdr:from>
    <xdr:to>
      <xdr:col>7</xdr:col>
      <xdr:colOff>559242</xdr:colOff>
      <xdr:row>19</xdr:row>
      <xdr:rowOff>77947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38D55A9-F968-4B1D-B341-E53546650BF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59530</xdr:colOff>
      <xdr:row>3</xdr:row>
      <xdr:rowOff>22382</xdr:rowOff>
    </xdr:from>
    <xdr:to>
      <xdr:col>14</xdr:col>
      <xdr:colOff>801018</xdr:colOff>
      <xdr:row>19</xdr:row>
      <xdr:rowOff>82232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3EEA048B-3830-42C9-8843-CE8525A04EA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46434</xdr:colOff>
      <xdr:row>21</xdr:row>
      <xdr:rowOff>41273</xdr:rowOff>
    </xdr:from>
    <xdr:to>
      <xdr:col>7</xdr:col>
      <xdr:colOff>537890</xdr:colOff>
      <xdr:row>38</xdr:row>
      <xdr:rowOff>23732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88AB935B-3237-4661-9C4C-CBEB3480C87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54134</xdr:colOff>
      <xdr:row>21</xdr:row>
      <xdr:rowOff>41274</xdr:rowOff>
    </xdr:from>
    <xdr:to>
      <xdr:col>14</xdr:col>
      <xdr:colOff>795622</xdr:colOff>
      <xdr:row>38</xdr:row>
      <xdr:rowOff>23733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93E60353-AC20-426E-94EF-6638E369355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52070</xdr:colOff>
      <xdr:row>43</xdr:row>
      <xdr:rowOff>27464</xdr:rowOff>
    </xdr:from>
    <xdr:to>
      <xdr:col>7</xdr:col>
      <xdr:colOff>543526</xdr:colOff>
      <xdr:row>59</xdr:row>
      <xdr:rowOff>87314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E044BB3F-60E4-4941-8A38-C4FF018E4EC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80725</xdr:colOff>
      <xdr:row>43</xdr:row>
      <xdr:rowOff>19130</xdr:rowOff>
    </xdr:from>
    <xdr:to>
      <xdr:col>14</xdr:col>
      <xdr:colOff>822213</xdr:colOff>
      <xdr:row>59</xdr:row>
      <xdr:rowOff>78980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A68C1C8D-E748-4460-AD2C-AC948B04151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266461</xdr:colOff>
      <xdr:row>61</xdr:row>
      <xdr:rowOff>108903</xdr:rowOff>
    </xdr:from>
    <xdr:to>
      <xdr:col>11</xdr:col>
      <xdr:colOff>400730</xdr:colOff>
      <xdr:row>78</xdr:row>
      <xdr:rowOff>8018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977B96BB-B9DD-42AC-96CB-279C93F15DA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73937</xdr:colOff>
      <xdr:row>2</xdr:row>
      <xdr:rowOff>114822</xdr:rowOff>
    </xdr:from>
    <xdr:to>
      <xdr:col>7</xdr:col>
      <xdr:colOff>565393</xdr:colOff>
      <xdr:row>19</xdr:row>
      <xdr:rowOff>13563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B725E00F-6C83-47B8-B17B-4DF9FA97487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63791</xdr:colOff>
      <xdr:row>19</xdr:row>
      <xdr:rowOff>164416</xdr:rowOff>
    </xdr:from>
    <xdr:to>
      <xdr:col>7</xdr:col>
      <xdr:colOff>555247</xdr:colOff>
      <xdr:row>36</xdr:row>
      <xdr:rowOff>55863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EA2BFF36-A93B-41BF-B0DB-3E4550866BC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99098</xdr:colOff>
      <xdr:row>2</xdr:row>
      <xdr:rowOff>114548</xdr:rowOff>
    </xdr:from>
    <xdr:to>
      <xdr:col>14</xdr:col>
      <xdr:colOff>838756</xdr:colOff>
      <xdr:row>19</xdr:row>
      <xdr:rowOff>14702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FBC1ECD9-2EA5-4BD2-8C59-5A1C75B522D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110273</xdr:colOff>
      <xdr:row>19</xdr:row>
      <xdr:rowOff>159680</xdr:rowOff>
    </xdr:from>
    <xdr:to>
      <xdr:col>14</xdr:col>
      <xdr:colOff>842236</xdr:colOff>
      <xdr:row>36</xdr:row>
      <xdr:rowOff>49714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32AA7244-A23D-4158-908D-B66797AFCC1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76686</xdr:colOff>
      <xdr:row>39</xdr:row>
      <xdr:rowOff>72378</xdr:rowOff>
    </xdr:from>
    <xdr:to>
      <xdr:col>7</xdr:col>
      <xdr:colOff>568142</xdr:colOff>
      <xdr:row>55</xdr:row>
      <xdr:rowOff>132228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3660F7A0-1ABB-4011-B0B9-C1599AD9135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108304</xdr:colOff>
      <xdr:row>39</xdr:row>
      <xdr:rowOff>71778</xdr:rowOff>
    </xdr:from>
    <xdr:to>
      <xdr:col>14</xdr:col>
      <xdr:colOff>840267</xdr:colOff>
      <xdr:row>55</xdr:row>
      <xdr:rowOff>131628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640AF295-4651-4804-A969-3ACB8345C23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308382</xdr:colOff>
      <xdr:row>57</xdr:row>
      <xdr:rowOff>55698</xdr:rowOff>
    </xdr:from>
    <xdr:to>
      <xdr:col>11</xdr:col>
      <xdr:colOff>442651</xdr:colOff>
      <xdr:row>73</xdr:row>
      <xdr:rowOff>115549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97D3D49-6DF1-47AB-BFD8-89876F0CD77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57945</xdr:colOff>
      <xdr:row>2</xdr:row>
      <xdr:rowOff>85328</xdr:rowOff>
    </xdr:from>
    <xdr:to>
      <xdr:col>7</xdr:col>
      <xdr:colOff>549401</xdr:colOff>
      <xdr:row>18</xdr:row>
      <xdr:rowOff>149940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9182C0B-98F8-40AB-9B72-DA24A7C8FF9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92868</xdr:colOff>
      <xdr:row>2</xdr:row>
      <xdr:rowOff>79773</xdr:rowOff>
    </xdr:from>
    <xdr:to>
      <xdr:col>14</xdr:col>
      <xdr:colOff>834356</xdr:colOff>
      <xdr:row>18</xdr:row>
      <xdr:rowOff>145575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D793B14-9661-47F1-B804-E5F921AF77E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61913</xdr:colOff>
      <xdr:row>19</xdr:row>
      <xdr:rowOff>148828</xdr:rowOff>
    </xdr:from>
    <xdr:to>
      <xdr:col>7</xdr:col>
      <xdr:colOff>553369</xdr:colOff>
      <xdr:row>36</xdr:row>
      <xdr:rowOff>41990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E4BCC259-E5C9-40F6-BE93-ADE2BFBD951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91678</xdr:colOff>
      <xdr:row>19</xdr:row>
      <xdr:rowOff>135731</xdr:rowOff>
    </xdr:from>
    <xdr:to>
      <xdr:col>14</xdr:col>
      <xdr:colOff>833166</xdr:colOff>
      <xdr:row>36</xdr:row>
      <xdr:rowOff>28893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5B350F8C-C936-465E-B623-BB06E53073B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64294</xdr:colOff>
      <xdr:row>39</xdr:row>
      <xdr:rowOff>119062</xdr:rowOff>
    </xdr:from>
    <xdr:to>
      <xdr:col>7</xdr:col>
      <xdr:colOff>555750</xdr:colOff>
      <xdr:row>56</xdr:row>
      <xdr:rowOff>16987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83A39FA5-7A3D-4F09-8AD9-C130257F24C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90487</xdr:colOff>
      <xdr:row>39</xdr:row>
      <xdr:rowOff>116682</xdr:rowOff>
    </xdr:from>
    <xdr:to>
      <xdr:col>14</xdr:col>
      <xdr:colOff>831975</xdr:colOff>
      <xdr:row>56</xdr:row>
      <xdr:rowOff>14607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1C8D680F-442B-4B11-9DEA-A6E16E466BD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247652</xdr:colOff>
      <xdr:row>57</xdr:row>
      <xdr:rowOff>102395</xdr:rowOff>
    </xdr:from>
    <xdr:to>
      <xdr:col>11</xdr:col>
      <xdr:colOff>381921</xdr:colOff>
      <xdr:row>74</xdr:row>
      <xdr:rowOff>7464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E0AD1426-3290-49B0-AAAF-59966E3F606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67786</xdr:colOff>
      <xdr:row>3</xdr:row>
      <xdr:rowOff>18097</xdr:rowOff>
    </xdr:from>
    <xdr:to>
      <xdr:col>7</xdr:col>
      <xdr:colOff>559242</xdr:colOff>
      <xdr:row>19</xdr:row>
      <xdr:rowOff>77947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112B1AA-0247-4A9A-8916-F1BA86C1465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59530</xdr:colOff>
      <xdr:row>3</xdr:row>
      <xdr:rowOff>22382</xdr:rowOff>
    </xdr:from>
    <xdr:to>
      <xdr:col>14</xdr:col>
      <xdr:colOff>801018</xdr:colOff>
      <xdr:row>19</xdr:row>
      <xdr:rowOff>82232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7268976A-3FCA-4087-9F5C-D971DC56E82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46434</xdr:colOff>
      <xdr:row>21</xdr:row>
      <xdr:rowOff>41273</xdr:rowOff>
    </xdr:from>
    <xdr:to>
      <xdr:col>7</xdr:col>
      <xdr:colOff>537890</xdr:colOff>
      <xdr:row>38</xdr:row>
      <xdr:rowOff>23732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4CA1CE81-001B-4BF5-A128-2964ADE01AE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54134</xdr:colOff>
      <xdr:row>21</xdr:row>
      <xdr:rowOff>41274</xdr:rowOff>
    </xdr:from>
    <xdr:to>
      <xdr:col>14</xdr:col>
      <xdr:colOff>795622</xdr:colOff>
      <xdr:row>38</xdr:row>
      <xdr:rowOff>23733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89D89320-859D-4578-BEAE-B868BFEB321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52070</xdr:colOff>
      <xdr:row>43</xdr:row>
      <xdr:rowOff>27464</xdr:rowOff>
    </xdr:from>
    <xdr:to>
      <xdr:col>7</xdr:col>
      <xdr:colOff>543526</xdr:colOff>
      <xdr:row>59</xdr:row>
      <xdr:rowOff>87314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1E4F44A9-5BDC-4D52-AC30-02069122339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80725</xdr:colOff>
      <xdr:row>43</xdr:row>
      <xdr:rowOff>19130</xdr:rowOff>
    </xdr:from>
    <xdr:to>
      <xdr:col>14</xdr:col>
      <xdr:colOff>822213</xdr:colOff>
      <xdr:row>59</xdr:row>
      <xdr:rowOff>78980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B5D71B2B-72C6-4F00-9507-5458F414AA0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266461</xdr:colOff>
      <xdr:row>61</xdr:row>
      <xdr:rowOff>108903</xdr:rowOff>
    </xdr:from>
    <xdr:to>
      <xdr:col>11</xdr:col>
      <xdr:colOff>400730</xdr:colOff>
      <xdr:row>78</xdr:row>
      <xdr:rowOff>8018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28702A2D-AA2C-44E2-B1B7-C1A080595C3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73937</xdr:colOff>
      <xdr:row>2</xdr:row>
      <xdr:rowOff>114822</xdr:rowOff>
    </xdr:from>
    <xdr:to>
      <xdr:col>7</xdr:col>
      <xdr:colOff>565393</xdr:colOff>
      <xdr:row>19</xdr:row>
      <xdr:rowOff>13563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AFA276F7-50E4-41A9-8EB0-9A0D5AECFC9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63791</xdr:colOff>
      <xdr:row>19</xdr:row>
      <xdr:rowOff>164416</xdr:rowOff>
    </xdr:from>
    <xdr:to>
      <xdr:col>7</xdr:col>
      <xdr:colOff>555247</xdr:colOff>
      <xdr:row>36</xdr:row>
      <xdr:rowOff>55863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2A845122-2600-41D9-AFC4-6DEDD564436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99098</xdr:colOff>
      <xdr:row>2</xdr:row>
      <xdr:rowOff>114548</xdr:rowOff>
    </xdr:from>
    <xdr:to>
      <xdr:col>14</xdr:col>
      <xdr:colOff>838756</xdr:colOff>
      <xdr:row>19</xdr:row>
      <xdr:rowOff>14702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223C37E-5828-468D-90A5-F7C74A36A52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110273</xdr:colOff>
      <xdr:row>19</xdr:row>
      <xdr:rowOff>159680</xdr:rowOff>
    </xdr:from>
    <xdr:to>
      <xdr:col>14</xdr:col>
      <xdr:colOff>842236</xdr:colOff>
      <xdr:row>36</xdr:row>
      <xdr:rowOff>49714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94CE3A20-81E3-4301-AA2C-1CE6ECE1BD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76686</xdr:colOff>
      <xdr:row>39</xdr:row>
      <xdr:rowOff>72378</xdr:rowOff>
    </xdr:from>
    <xdr:to>
      <xdr:col>7</xdr:col>
      <xdr:colOff>568142</xdr:colOff>
      <xdr:row>55</xdr:row>
      <xdr:rowOff>132228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D880860A-007E-4341-94DE-F0D9E03DFC5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108304</xdr:colOff>
      <xdr:row>39</xdr:row>
      <xdr:rowOff>71778</xdr:rowOff>
    </xdr:from>
    <xdr:to>
      <xdr:col>14</xdr:col>
      <xdr:colOff>840267</xdr:colOff>
      <xdr:row>55</xdr:row>
      <xdr:rowOff>131628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9FA4C84E-3079-4163-BA15-0B54E47EDA2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308382</xdr:colOff>
      <xdr:row>57</xdr:row>
      <xdr:rowOff>55698</xdr:rowOff>
    </xdr:from>
    <xdr:to>
      <xdr:col>11</xdr:col>
      <xdr:colOff>442651</xdr:colOff>
      <xdr:row>73</xdr:row>
      <xdr:rowOff>115549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A39C198-0048-4AC2-9DF7-E46AA545DA0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57945</xdr:colOff>
      <xdr:row>2</xdr:row>
      <xdr:rowOff>85328</xdr:rowOff>
    </xdr:from>
    <xdr:to>
      <xdr:col>7</xdr:col>
      <xdr:colOff>549401</xdr:colOff>
      <xdr:row>18</xdr:row>
      <xdr:rowOff>149940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D0EEE6E-D529-4439-9B9D-952577B19D9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92868</xdr:colOff>
      <xdr:row>2</xdr:row>
      <xdr:rowOff>79773</xdr:rowOff>
    </xdr:from>
    <xdr:to>
      <xdr:col>14</xdr:col>
      <xdr:colOff>834356</xdr:colOff>
      <xdr:row>18</xdr:row>
      <xdr:rowOff>145575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E738BABC-26C0-4F9C-9FCF-3CD914A20F1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61913</xdr:colOff>
      <xdr:row>19</xdr:row>
      <xdr:rowOff>148828</xdr:rowOff>
    </xdr:from>
    <xdr:to>
      <xdr:col>7</xdr:col>
      <xdr:colOff>553369</xdr:colOff>
      <xdr:row>36</xdr:row>
      <xdr:rowOff>41990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BAAC1BF5-070A-4BA7-B60E-C6A8FED008A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91678</xdr:colOff>
      <xdr:row>19</xdr:row>
      <xdr:rowOff>135731</xdr:rowOff>
    </xdr:from>
    <xdr:to>
      <xdr:col>14</xdr:col>
      <xdr:colOff>833166</xdr:colOff>
      <xdr:row>36</xdr:row>
      <xdr:rowOff>28893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AC9305D2-14C7-4126-AC2D-8012A3A17E4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64294</xdr:colOff>
      <xdr:row>39</xdr:row>
      <xdr:rowOff>119062</xdr:rowOff>
    </xdr:from>
    <xdr:to>
      <xdr:col>7</xdr:col>
      <xdr:colOff>555750</xdr:colOff>
      <xdr:row>56</xdr:row>
      <xdr:rowOff>16987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D88C1480-2D7D-430B-983F-975296BDA7E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90487</xdr:colOff>
      <xdr:row>39</xdr:row>
      <xdr:rowOff>116682</xdr:rowOff>
    </xdr:from>
    <xdr:to>
      <xdr:col>14</xdr:col>
      <xdr:colOff>831975</xdr:colOff>
      <xdr:row>56</xdr:row>
      <xdr:rowOff>14607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20568982-C683-4BB3-A452-0B42A78EE61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247652</xdr:colOff>
      <xdr:row>57</xdr:row>
      <xdr:rowOff>102395</xdr:rowOff>
    </xdr:from>
    <xdr:to>
      <xdr:col>11</xdr:col>
      <xdr:colOff>381921</xdr:colOff>
      <xdr:row>74</xdr:row>
      <xdr:rowOff>7464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D0436EFF-C9A3-4B20-ACBC-AD72A3EB612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67786</xdr:colOff>
      <xdr:row>3</xdr:row>
      <xdr:rowOff>18097</xdr:rowOff>
    </xdr:from>
    <xdr:to>
      <xdr:col>7</xdr:col>
      <xdr:colOff>559242</xdr:colOff>
      <xdr:row>19</xdr:row>
      <xdr:rowOff>77947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915AAE5-0787-4DCC-9004-A9CD973A2BD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59530</xdr:colOff>
      <xdr:row>3</xdr:row>
      <xdr:rowOff>22382</xdr:rowOff>
    </xdr:from>
    <xdr:to>
      <xdr:col>14</xdr:col>
      <xdr:colOff>801018</xdr:colOff>
      <xdr:row>19</xdr:row>
      <xdr:rowOff>82232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68F776CC-A8F3-4652-9B86-B64A20D3477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46434</xdr:colOff>
      <xdr:row>21</xdr:row>
      <xdr:rowOff>41273</xdr:rowOff>
    </xdr:from>
    <xdr:to>
      <xdr:col>7</xdr:col>
      <xdr:colOff>537890</xdr:colOff>
      <xdr:row>38</xdr:row>
      <xdr:rowOff>23732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58FC3907-5F24-4B77-9312-2B2D63F33D5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54134</xdr:colOff>
      <xdr:row>21</xdr:row>
      <xdr:rowOff>41274</xdr:rowOff>
    </xdr:from>
    <xdr:to>
      <xdr:col>14</xdr:col>
      <xdr:colOff>795622</xdr:colOff>
      <xdr:row>38</xdr:row>
      <xdr:rowOff>23733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A0966CE8-781A-4EA3-A9B1-6FD1E69D90D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52070</xdr:colOff>
      <xdr:row>43</xdr:row>
      <xdr:rowOff>27464</xdr:rowOff>
    </xdr:from>
    <xdr:to>
      <xdr:col>7</xdr:col>
      <xdr:colOff>543526</xdr:colOff>
      <xdr:row>59</xdr:row>
      <xdr:rowOff>87314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85145D13-0FD4-4FAB-8275-B06A3952EDA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80725</xdr:colOff>
      <xdr:row>43</xdr:row>
      <xdr:rowOff>19130</xdr:rowOff>
    </xdr:from>
    <xdr:to>
      <xdr:col>14</xdr:col>
      <xdr:colOff>822213</xdr:colOff>
      <xdr:row>59</xdr:row>
      <xdr:rowOff>78980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0AE274A5-205D-41D1-9C2D-867554FA07B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266461</xdr:colOff>
      <xdr:row>61</xdr:row>
      <xdr:rowOff>108903</xdr:rowOff>
    </xdr:from>
    <xdr:to>
      <xdr:col>11</xdr:col>
      <xdr:colOff>400730</xdr:colOff>
      <xdr:row>78</xdr:row>
      <xdr:rowOff>8018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064DFA1C-4A07-4566-A9E4-2F54C25F487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73937</xdr:colOff>
      <xdr:row>2</xdr:row>
      <xdr:rowOff>114822</xdr:rowOff>
    </xdr:from>
    <xdr:to>
      <xdr:col>7</xdr:col>
      <xdr:colOff>565393</xdr:colOff>
      <xdr:row>19</xdr:row>
      <xdr:rowOff>13563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1F6FEAC2-91D5-40AF-9278-10B5FA41ADE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63791</xdr:colOff>
      <xdr:row>19</xdr:row>
      <xdr:rowOff>164416</xdr:rowOff>
    </xdr:from>
    <xdr:to>
      <xdr:col>7</xdr:col>
      <xdr:colOff>555247</xdr:colOff>
      <xdr:row>36</xdr:row>
      <xdr:rowOff>55863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543EB0AD-B895-4C00-A7EE-CB81C5881FB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99098</xdr:colOff>
      <xdr:row>2</xdr:row>
      <xdr:rowOff>114548</xdr:rowOff>
    </xdr:from>
    <xdr:to>
      <xdr:col>14</xdr:col>
      <xdr:colOff>838756</xdr:colOff>
      <xdr:row>19</xdr:row>
      <xdr:rowOff>14702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8871C2C-BA3B-4B78-81C1-4E2140F9837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110273</xdr:colOff>
      <xdr:row>19</xdr:row>
      <xdr:rowOff>159680</xdr:rowOff>
    </xdr:from>
    <xdr:to>
      <xdr:col>14</xdr:col>
      <xdr:colOff>842236</xdr:colOff>
      <xdr:row>36</xdr:row>
      <xdr:rowOff>49714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1EF5A436-3803-44FD-836D-93A22400FCD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76686</xdr:colOff>
      <xdr:row>39</xdr:row>
      <xdr:rowOff>72378</xdr:rowOff>
    </xdr:from>
    <xdr:to>
      <xdr:col>7</xdr:col>
      <xdr:colOff>568142</xdr:colOff>
      <xdr:row>55</xdr:row>
      <xdr:rowOff>132228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7ABA6B7A-649C-4DDD-91B5-43A513196D5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108304</xdr:colOff>
      <xdr:row>39</xdr:row>
      <xdr:rowOff>71778</xdr:rowOff>
    </xdr:from>
    <xdr:to>
      <xdr:col>14</xdr:col>
      <xdr:colOff>840267</xdr:colOff>
      <xdr:row>55</xdr:row>
      <xdr:rowOff>131628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58E0352D-1BA1-4766-8CF3-3F192BE0694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308382</xdr:colOff>
      <xdr:row>57</xdr:row>
      <xdr:rowOff>55698</xdr:rowOff>
    </xdr:from>
    <xdr:to>
      <xdr:col>11</xdr:col>
      <xdr:colOff>442651</xdr:colOff>
      <xdr:row>73</xdr:row>
      <xdr:rowOff>115549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465B688-C9B7-4480-81FD-48C65100E76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57945</xdr:colOff>
      <xdr:row>2</xdr:row>
      <xdr:rowOff>85328</xdr:rowOff>
    </xdr:from>
    <xdr:to>
      <xdr:col>7</xdr:col>
      <xdr:colOff>549401</xdr:colOff>
      <xdr:row>18</xdr:row>
      <xdr:rowOff>149940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9A8D447-4806-45E7-86D8-65AEAB0DDC8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92868</xdr:colOff>
      <xdr:row>2</xdr:row>
      <xdr:rowOff>79773</xdr:rowOff>
    </xdr:from>
    <xdr:to>
      <xdr:col>14</xdr:col>
      <xdr:colOff>834356</xdr:colOff>
      <xdr:row>18</xdr:row>
      <xdr:rowOff>145575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5C36575F-EA70-44C4-805F-FD87933FE0E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61913</xdr:colOff>
      <xdr:row>19</xdr:row>
      <xdr:rowOff>148828</xdr:rowOff>
    </xdr:from>
    <xdr:to>
      <xdr:col>7</xdr:col>
      <xdr:colOff>553369</xdr:colOff>
      <xdr:row>36</xdr:row>
      <xdr:rowOff>41990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7E1157E9-8C8C-43CC-81EE-E2D6637A875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91678</xdr:colOff>
      <xdr:row>19</xdr:row>
      <xdr:rowOff>135731</xdr:rowOff>
    </xdr:from>
    <xdr:to>
      <xdr:col>14</xdr:col>
      <xdr:colOff>833166</xdr:colOff>
      <xdr:row>36</xdr:row>
      <xdr:rowOff>28893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7019B507-F8B9-4E50-BEA0-2E6BB62D582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64294</xdr:colOff>
      <xdr:row>39</xdr:row>
      <xdr:rowOff>119062</xdr:rowOff>
    </xdr:from>
    <xdr:to>
      <xdr:col>7</xdr:col>
      <xdr:colOff>555750</xdr:colOff>
      <xdr:row>56</xdr:row>
      <xdr:rowOff>16987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08BF5A34-6A0A-4560-9ECE-A4F0CE26112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90487</xdr:colOff>
      <xdr:row>39</xdr:row>
      <xdr:rowOff>116682</xdr:rowOff>
    </xdr:from>
    <xdr:to>
      <xdr:col>14</xdr:col>
      <xdr:colOff>831975</xdr:colOff>
      <xdr:row>56</xdr:row>
      <xdr:rowOff>14607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8894F63A-394F-4EF3-B267-61D117DBD9D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247652</xdr:colOff>
      <xdr:row>57</xdr:row>
      <xdr:rowOff>102395</xdr:rowOff>
    </xdr:from>
    <xdr:to>
      <xdr:col>11</xdr:col>
      <xdr:colOff>381921</xdr:colOff>
      <xdr:row>74</xdr:row>
      <xdr:rowOff>7464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86172C12-2F07-40FD-8A7F-B6546256A29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0.15957</cdr:x>
      <cdr:y>0.81333</cdr:y>
    </cdr:from>
    <cdr:to>
      <cdr:x>0.18479</cdr:x>
      <cdr:y>0.8426</cdr:y>
    </cdr:to>
    <cdr:grpSp>
      <cdr:nvGrpSpPr>
        <cdr:cNvPr id="7" name="Skupina 6">
          <a:extLst xmlns:a="http://schemas.openxmlformats.org/drawingml/2006/main">
            <a:ext uri="{FF2B5EF4-FFF2-40B4-BE49-F238E27FC236}">
              <a16:creationId xmlns:a16="http://schemas.microsoft.com/office/drawing/2014/main" id="{DA839A71-DEFC-447D-B01E-523D683ACC57}"/>
            </a:ext>
          </a:extLst>
        </cdr:cNvPr>
        <cdr:cNvGrpSpPr>
          <a:grpSpLocks xmlns:a="http://schemas.openxmlformats.org/drawingml/2006/main" noChangeAspect="1"/>
        </cdr:cNvGrpSpPr>
      </cdr:nvGrpSpPr>
      <cdr:grpSpPr>
        <a:xfrm xmlns:a="http://schemas.openxmlformats.org/drawingml/2006/main">
          <a:off x="699683" y="2140359"/>
          <a:ext cx="110584" cy="77027"/>
          <a:chOff x="0" y="0"/>
          <a:chExt cx="137054" cy="93709"/>
        </a:xfrm>
      </cdr:grpSpPr>
      <cdr:cxnSp macro="">
        <cdr:nvCxnSpPr>
          <cdr:cNvPr id="8" name="Přímá spojnice 7">
            <a:extLst xmlns:a="http://schemas.openxmlformats.org/drawingml/2006/main">
              <a:ext uri="{FF2B5EF4-FFF2-40B4-BE49-F238E27FC236}">
                <a16:creationId xmlns:a16="http://schemas.microsoft.com/office/drawing/2014/main" id="{E31D0F1A-196C-4447-9691-22A7DBCB9824}"/>
              </a:ext>
            </a:extLst>
          </cdr:cNvPr>
          <cdr:cNvCxnSpPr/>
        </cdr:nvCxnSpPr>
        <cdr:spPr>
          <a:xfrm xmlns:a="http://schemas.openxmlformats.org/drawingml/2006/main" flipV="1">
            <a:off x="2287" y="0"/>
            <a:ext cx="134767" cy="44279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rgbClr val="FF0000"/>
            </a:solidFill>
          </a:ln>
        </cdr:spPr>
        <cdr:style>
          <a:lnRef xmlns:a="http://schemas.openxmlformats.org/drawingml/2006/main" idx="2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1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Přímá spojnice 8">
            <a:extLst xmlns:a="http://schemas.openxmlformats.org/drawingml/2006/main">
              <a:ext uri="{FF2B5EF4-FFF2-40B4-BE49-F238E27FC236}">
                <a16:creationId xmlns:a16="http://schemas.microsoft.com/office/drawing/2014/main" id="{120A0BC9-97A7-4CEB-96A5-39149A784CEB}"/>
              </a:ext>
            </a:extLst>
          </cdr:cNvPr>
          <cdr:cNvCxnSpPr/>
        </cdr:nvCxnSpPr>
        <cdr:spPr>
          <a:xfrm xmlns:a="http://schemas.openxmlformats.org/drawingml/2006/main" flipV="1">
            <a:off x="0" y="49430"/>
            <a:ext cx="134765" cy="44279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rgbClr val="FF0000"/>
            </a:solidFill>
          </a:ln>
        </cdr:spPr>
        <cdr:style>
          <a:lnRef xmlns:a="http://schemas.openxmlformats.org/drawingml/2006/main" idx="2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1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67786</xdr:colOff>
      <xdr:row>3</xdr:row>
      <xdr:rowOff>18097</xdr:rowOff>
    </xdr:from>
    <xdr:to>
      <xdr:col>7</xdr:col>
      <xdr:colOff>559242</xdr:colOff>
      <xdr:row>19</xdr:row>
      <xdr:rowOff>77947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336B73A-BBF7-443F-9C88-1D6EA40B8DC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59530</xdr:colOff>
      <xdr:row>3</xdr:row>
      <xdr:rowOff>22382</xdr:rowOff>
    </xdr:from>
    <xdr:to>
      <xdr:col>14</xdr:col>
      <xdr:colOff>801018</xdr:colOff>
      <xdr:row>19</xdr:row>
      <xdr:rowOff>82232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D1BDD519-C6FE-4D0E-ADD6-7CF3CF05914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46434</xdr:colOff>
      <xdr:row>21</xdr:row>
      <xdr:rowOff>41273</xdr:rowOff>
    </xdr:from>
    <xdr:to>
      <xdr:col>7</xdr:col>
      <xdr:colOff>537890</xdr:colOff>
      <xdr:row>38</xdr:row>
      <xdr:rowOff>23732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2CA3C639-E0CA-4A0D-985B-C7C9CE535E0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54134</xdr:colOff>
      <xdr:row>21</xdr:row>
      <xdr:rowOff>41274</xdr:rowOff>
    </xdr:from>
    <xdr:to>
      <xdr:col>14</xdr:col>
      <xdr:colOff>795622</xdr:colOff>
      <xdr:row>38</xdr:row>
      <xdr:rowOff>23733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34860D46-17A7-404D-AD01-9CD6B577640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52070</xdr:colOff>
      <xdr:row>43</xdr:row>
      <xdr:rowOff>27464</xdr:rowOff>
    </xdr:from>
    <xdr:to>
      <xdr:col>7</xdr:col>
      <xdr:colOff>543526</xdr:colOff>
      <xdr:row>59</xdr:row>
      <xdr:rowOff>87314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CBA2476D-88B5-48B9-8F20-6800A718398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80725</xdr:colOff>
      <xdr:row>43</xdr:row>
      <xdr:rowOff>19130</xdr:rowOff>
    </xdr:from>
    <xdr:to>
      <xdr:col>14</xdr:col>
      <xdr:colOff>822213</xdr:colOff>
      <xdr:row>59</xdr:row>
      <xdr:rowOff>78980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23664F77-2585-4D64-AD3C-0BE882B95D8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266461</xdr:colOff>
      <xdr:row>61</xdr:row>
      <xdr:rowOff>108903</xdr:rowOff>
    </xdr:from>
    <xdr:to>
      <xdr:col>11</xdr:col>
      <xdr:colOff>400730</xdr:colOff>
      <xdr:row>78</xdr:row>
      <xdr:rowOff>8018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B6CE106B-708C-45E2-8F8A-3BCCE5788CE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0.16291</cdr:x>
      <cdr:y>0.81871</cdr:y>
    </cdr:from>
    <cdr:to>
      <cdr:x>0.18326</cdr:x>
      <cdr:y>0.84277</cdr:y>
    </cdr:to>
    <cdr:grpSp>
      <cdr:nvGrpSpPr>
        <cdr:cNvPr id="2" name="Skupina 1">
          <a:extLst xmlns:a="http://schemas.openxmlformats.org/drawingml/2006/main">
            <a:ext uri="{FF2B5EF4-FFF2-40B4-BE49-F238E27FC236}">
              <a16:creationId xmlns:a16="http://schemas.microsoft.com/office/drawing/2014/main" id="{2CE5D8AF-9062-498F-9B1C-CD1582E78CAE}"/>
            </a:ext>
          </a:extLst>
        </cdr:cNvPr>
        <cdr:cNvGrpSpPr>
          <a:grpSpLocks xmlns:a="http://schemas.openxmlformats.org/drawingml/2006/main" noChangeAspect="1"/>
        </cdr:cNvGrpSpPr>
      </cdr:nvGrpSpPr>
      <cdr:grpSpPr>
        <a:xfrm xmlns:a="http://schemas.openxmlformats.org/drawingml/2006/main">
          <a:off x="714328" y="2154517"/>
          <a:ext cx="89230" cy="63317"/>
          <a:chOff x="0" y="0"/>
          <a:chExt cx="110586" cy="77028"/>
        </a:xfrm>
      </cdr:grpSpPr>
      <cdr:cxnSp macro="">
        <cdr:nvCxnSpPr>
          <cdr:cNvPr id="3" name="Přímá spojnice 2">
            <a:extLst xmlns:a="http://schemas.openxmlformats.org/drawingml/2006/main">
              <a:ext uri="{FF2B5EF4-FFF2-40B4-BE49-F238E27FC236}">
                <a16:creationId xmlns:a16="http://schemas.microsoft.com/office/drawing/2014/main" id="{4BD18744-4B42-4379-AF40-308949BE7886}"/>
              </a:ext>
            </a:extLst>
          </cdr:cNvPr>
          <cdr:cNvCxnSpPr/>
        </cdr:nvCxnSpPr>
        <cdr:spPr>
          <a:xfrm xmlns:a="http://schemas.openxmlformats.org/drawingml/2006/main" flipV="1">
            <a:off x="1845" y="0"/>
            <a:ext cx="108741" cy="36397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rgbClr val="FF0000"/>
            </a:solidFill>
          </a:ln>
        </cdr:spPr>
        <cdr:style>
          <a:lnRef xmlns:a="http://schemas.openxmlformats.org/drawingml/2006/main" idx="2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1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Přímá spojnice 3">
            <a:extLst xmlns:a="http://schemas.openxmlformats.org/drawingml/2006/main">
              <a:ext uri="{FF2B5EF4-FFF2-40B4-BE49-F238E27FC236}">
                <a16:creationId xmlns:a16="http://schemas.microsoft.com/office/drawing/2014/main" id="{F9CCAA0F-B96E-41F2-A664-816081D29409}"/>
              </a:ext>
            </a:extLst>
          </cdr:cNvPr>
          <cdr:cNvCxnSpPr/>
        </cdr:nvCxnSpPr>
        <cdr:spPr>
          <a:xfrm xmlns:a="http://schemas.openxmlformats.org/drawingml/2006/main" flipV="1">
            <a:off x="0" y="40631"/>
            <a:ext cx="108740" cy="36397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rgbClr val="FF0000"/>
            </a:solidFill>
          </a:ln>
        </cdr:spPr>
        <cdr:style>
          <a:lnRef xmlns:a="http://schemas.openxmlformats.org/drawingml/2006/main" idx="2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1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37222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14FD54B-F5DF-2E43-2979-15C9D0A5F33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0.0714</cdr:x>
      <cdr:y>0.89287</cdr:y>
    </cdr:from>
    <cdr:to>
      <cdr:x>0.09533</cdr:x>
      <cdr:y>0.90991</cdr:y>
    </cdr:to>
    <cdr:grpSp>
      <cdr:nvGrpSpPr>
        <cdr:cNvPr id="5" name="Skupina 4">
          <a:extLst xmlns:a="http://schemas.openxmlformats.org/drawingml/2006/main">
            <a:ext uri="{FF2B5EF4-FFF2-40B4-BE49-F238E27FC236}">
              <a16:creationId xmlns:a16="http://schemas.microsoft.com/office/drawing/2014/main" id="{C5B70E0B-6353-4C44-89C7-87C59F195EDF}"/>
            </a:ext>
          </a:extLst>
        </cdr:cNvPr>
        <cdr:cNvGrpSpPr/>
      </cdr:nvGrpSpPr>
      <cdr:grpSpPr>
        <a:xfrm xmlns:a="http://schemas.openxmlformats.org/drawingml/2006/main">
          <a:off x="688926" y="5689569"/>
          <a:ext cx="230896" cy="108582"/>
          <a:chOff x="0" y="0"/>
          <a:chExt cx="230827" cy="108552"/>
        </a:xfrm>
      </cdr:grpSpPr>
      <cdr:cxnSp macro="">
        <cdr:nvCxnSpPr>
          <cdr:cNvPr id="6" name="Přímá spojnice 5">
            <a:extLst xmlns:a="http://schemas.openxmlformats.org/drawingml/2006/main">
              <a:ext uri="{FF2B5EF4-FFF2-40B4-BE49-F238E27FC236}">
                <a16:creationId xmlns:a16="http://schemas.microsoft.com/office/drawing/2014/main" id="{636475CA-86B7-416F-BCFF-84E104B2448B}"/>
              </a:ext>
            </a:extLst>
          </cdr:cNvPr>
          <cdr:cNvCxnSpPr/>
        </cdr:nvCxnSpPr>
        <cdr:spPr>
          <a:xfrm xmlns:a="http://schemas.openxmlformats.org/drawingml/2006/main" flipV="1">
            <a:off x="0" y="0"/>
            <a:ext cx="227133" cy="53973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Přímá spojnice 6">
            <a:extLst xmlns:a="http://schemas.openxmlformats.org/drawingml/2006/main">
              <a:ext uri="{FF2B5EF4-FFF2-40B4-BE49-F238E27FC236}">
                <a16:creationId xmlns:a16="http://schemas.microsoft.com/office/drawing/2014/main" id="{96AA2611-A78E-4D6C-89FB-C9F00EC44D3E}"/>
              </a:ext>
            </a:extLst>
          </cdr:cNvPr>
          <cdr:cNvCxnSpPr/>
        </cdr:nvCxnSpPr>
        <cdr:spPr>
          <a:xfrm xmlns:a="http://schemas.openxmlformats.org/drawingml/2006/main" flipV="1">
            <a:off x="3694" y="54516"/>
            <a:ext cx="227133" cy="5403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37222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3CA1ECE-98BD-4B80-EEBE-6F1E732246A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4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5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6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6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6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6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6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7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7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7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A38A3-C7BB-4C4B-B294-2D3B4E22B47E}">
  <sheetPr>
    <tabColor theme="3" tint="-0.249977111117893"/>
    <pageSetUpPr fitToPage="1"/>
  </sheetPr>
  <dimension ref="A1:AA18"/>
  <sheetViews>
    <sheetView showGridLines="0" zoomScale="115" zoomScaleNormal="115" zoomScaleSheetLayoutView="130" workbookViewId="0">
      <selection activeCell="AA12" sqref="AA12"/>
    </sheetView>
  </sheetViews>
  <sheetFormatPr defaultRowHeight="15" x14ac:dyDescent="0.25"/>
  <cols>
    <col min="1" max="1" width="32.85546875" customWidth="1"/>
    <col min="2" max="2" width="22.7109375" customWidth="1"/>
    <col min="3" max="10" width="14.7109375" hidden="1" customWidth="1"/>
    <col min="11" max="11" width="16.7109375" hidden="1" customWidth="1"/>
    <col min="12" max="17" width="14.7109375" hidden="1" customWidth="1"/>
    <col min="18" max="27" width="14.7109375" customWidth="1"/>
  </cols>
  <sheetData>
    <row r="1" spans="1:27" ht="26.25" x14ac:dyDescent="0.4">
      <c r="A1" s="502" t="s">
        <v>206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2"/>
    </row>
    <row r="2" spans="1:27" ht="15.75" thickBot="1" x14ac:dyDescent="0.3"/>
    <row r="3" spans="1:27" ht="20.100000000000001" customHeight="1" thickTop="1" thickBot="1" x14ac:dyDescent="0.3">
      <c r="A3" s="416" t="s">
        <v>34</v>
      </c>
      <c r="B3" s="417"/>
      <c r="C3" s="240">
        <v>2000</v>
      </c>
      <c r="D3" s="240">
        <v>2001</v>
      </c>
      <c r="E3" s="239">
        <v>2002</v>
      </c>
      <c r="F3" s="239">
        <v>2003</v>
      </c>
      <c r="G3" s="239">
        <v>2004</v>
      </c>
      <c r="H3" s="239">
        <v>2005</v>
      </c>
      <c r="I3" s="239">
        <v>2006</v>
      </c>
      <c r="J3" s="239">
        <v>2007</v>
      </c>
      <c r="K3" s="239">
        <v>2008</v>
      </c>
      <c r="L3" s="240">
        <v>2009</v>
      </c>
      <c r="M3" s="239">
        <v>2010</v>
      </c>
      <c r="N3" s="239">
        <v>2011</v>
      </c>
      <c r="O3" s="240">
        <v>2012</v>
      </c>
      <c r="P3" s="240">
        <v>2013</v>
      </c>
      <c r="Q3" s="240">
        <v>2014</v>
      </c>
      <c r="R3" s="240">
        <v>2015</v>
      </c>
      <c r="S3" s="240">
        <v>2016</v>
      </c>
      <c r="T3" s="240">
        <v>2017</v>
      </c>
      <c r="U3" s="240">
        <v>2018</v>
      </c>
      <c r="V3" s="240">
        <v>2019</v>
      </c>
      <c r="W3" s="240">
        <v>2020</v>
      </c>
      <c r="X3" s="240">
        <v>2021</v>
      </c>
      <c r="Y3" s="240">
        <v>2022</v>
      </c>
      <c r="Z3" s="240">
        <v>2023</v>
      </c>
      <c r="AA3" s="240">
        <v>2024</v>
      </c>
    </row>
    <row r="4" spans="1:27" ht="20.100000000000001" customHeight="1" thickTop="1" x14ac:dyDescent="0.25">
      <c r="A4" s="505" t="s">
        <v>105</v>
      </c>
      <c r="B4" s="418" t="s">
        <v>119</v>
      </c>
      <c r="C4" s="446">
        <v>2103352344</v>
      </c>
      <c r="D4" s="446">
        <v>884120043</v>
      </c>
      <c r="E4" s="241">
        <v>972798622</v>
      </c>
      <c r="F4" s="241">
        <v>1052011920</v>
      </c>
      <c r="G4" s="241">
        <v>1155212326</v>
      </c>
      <c r="H4" s="241">
        <v>1227004586</v>
      </c>
      <c r="I4" s="241">
        <v>1237789051.6700001</v>
      </c>
      <c r="J4" s="241">
        <v>1378574104.25</v>
      </c>
      <c r="K4" s="241">
        <v>1246557790.3199999</v>
      </c>
      <c r="L4" s="242">
        <v>1160332065.21</v>
      </c>
      <c r="M4" s="241">
        <v>1186106265.4200001</v>
      </c>
      <c r="N4" s="241">
        <v>1244050759.8700001</v>
      </c>
      <c r="O4" s="242">
        <v>1248887559.47</v>
      </c>
      <c r="P4" s="242">
        <f>1238728373.23</f>
        <v>1238728373.23</v>
      </c>
      <c r="Q4" s="242">
        <v>1259039502.96</v>
      </c>
      <c r="R4" s="242">
        <v>1278457951.02</v>
      </c>
      <c r="S4" s="242">
        <v>1459301625.48</v>
      </c>
      <c r="T4" s="242">
        <f>1655725892.61</f>
        <v>1655725892.6099999</v>
      </c>
      <c r="U4" s="242">
        <v>1854607936.8499999</v>
      </c>
      <c r="V4" s="242">
        <v>2065137597.8</v>
      </c>
      <c r="W4" s="242">
        <v>1937400280.73</v>
      </c>
      <c r="X4" s="242">
        <v>1422429822.3699999</v>
      </c>
      <c r="Y4" s="242">
        <v>1520338176.4499998</v>
      </c>
      <c r="Z4" s="242">
        <v>1758333192.1700001</v>
      </c>
      <c r="AA4" s="242">
        <v>1925227758</v>
      </c>
    </row>
    <row r="5" spans="1:27" ht="20.100000000000001" customHeight="1" x14ac:dyDescent="0.25">
      <c r="A5" s="506"/>
      <c r="B5" s="419" t="s">
        <v>118</v>
      </c>
      <c r="C5" s="447" t="s">
        <v>120</v>
      </c>
      <c r="D5" s="415">
        <f t="shared" ref="D5:J5" si="0">(D4-C4)/C4</f>
        <v>-0.57966146493618564</v>
      </c>
      <c r="E5" s="415">
        <f t="shared" si="0"/>
        <v>0.1003015141463092</v>
      </c>
      <c r="F5" s="415">
        <f t="shared" si="0"/>
        <v>8.1428258848828844E-2</v>
      </c>
      <c r="G5" s="415">
        <f t="shared" si="0"/>
        <v>9.8098133716963964E-2</v>
      </c>
      <c r="H5" s="415">
        <f t="shared" si="0"/>
        <v>6.2146376370987577E-2</v>
      </c>
      <c r="I5" s="415">
        <f t="shared" si="0"/>
        <v>8.7892627240759771E-3</v>
      </c>
      <c r="J5" s="415">
        <f t="shared" si="0"/>
        <v>0.11373913219708606</v>
      </c>
      <c r="K5" s="415">
        <f>(K4-J4)/J4</f>
        <v>-9.5762943408705822E-2</v>
      </c>
      <c r="L5" s="438">
        <f>(L4-K4)/K4</f>
        <v>-6.9171061124944047E-2</v>
      </c>
      <c r="M5" s="415">
        <f>(M4-L4)/L4</f>
        <v>2.2212779412706614E-2</v>
      </c>
      <c r="N5" s="415">
        <f t="shared" ref="N5:U5" si="1">(N4-M4)/M4</f>
        <v>4.8852700756522781E-2</v>
      </c>
      <c r="O5" s="454">
        <f t="shared" si="1"/>
        <v>3.887943929639444E-3</v>
      </c>
      <c r="P5" s="454">
        <f t="shared" si="1"/>
        <v>-8.1345883886547333E-3</v>
      </c>
      <c r="Q5" s="454">
        <f t="shared" si="1"/>
        <v>1.6396758295798529E-2</v>
      </c>
      <c r="R5" s="454">
        <f t="shared" si="1"/>
        <v>1.5423223826057245E-2</v>
      </c>
      <c r="S5" s="454">
        <f t="shared" si="1"/>
        <v>0.14145453459436536</v>
      </c>
      <c r="T5" s="454">
        <f t="shared" si="1"/>
        <v>0.13460155440133298</v>
      </c>
      <c r="U5" s="454">
        <f t="shared" si="1"/>
        <v>0.12011773514424705</v>
      </c>
      <c r="V5" s="454">
        <f t="shared" ref="V5:AA5" si="2">(V4-U4)/U4</f>
        <v>0.11351707105685034</v>
      </c>
      <c r="W5" s="454">
        <f t="shared" si="2"/>
        <v>-6.1854143378184123E-2</v>
      </c>
      <c r="X5" s="454">
        <f t="shared" si="2"/>
        <v>-0.26580488476339159</v>
      </c>
      <c r="Y5" s="454">
        <f t="shared" si="2"/>
        <v>6.8831764168771889E-2</v>
      </c>
      <c r="Z5" s="454">
        <f t="shared" si="2"/>
        <v>0.15654084032522309</v>
      </c>
      <c r="AA5" s="454">
        <f t="shared" si="2"/>
        <v>9.4916348376516427E-2</v>
      </c>
    </row>
    <row r="6" spans="1:27" ht="20.100000000000001" customHeight="1" x14ac:dyDescent="0.25">
      <c r="A6" s="507" t="s">
        <v>106</v>
      </c>
      <c r="B6" s="434" t="s">
        <v>119</v>
      </c>
      <c r="C6" s="437">
        <v>355734007</v>
      </c>
      <c r="D6" s="437">
        <v>233003550.69999999</v>
      </c>
      <c r="E6" s="436">
        <v>253688963.03</v>
      </c>
      <c r="F6" s="436">
        <v>273995050.88</v>
      </c>
      <c r="G6" s="436">
        <v>304072124.06</v>
      </c>
      <c r="H6" s="436">
        <v>318638297.31</v>
      </c>
      <c r="I6" s="436">
        <v>197650246.47</v>
      </c>
      <c r="J6" s="436">
        <v>192714133.97</v>
      </c>
      <c r="K6" s="436">
        <v>204454195.49000001</v>
      </c>
      <c r="L6" s="437">
        <v>88397573.870000005</v>
      </c>
      <c r="M6" s="436">
        <v>114231293.41</v>
      </c>
      <c r="N6" s="436">
        <v>58603214.049999997</v>
      </c>
      <c r="O6" s="437">
        <v>43365670.240000002</v>
      </c>
      <c r="P6" s="437">
        <f>49796466.76</f>
        <v>49796466.759999998</v>
      </c>
      <c r="Q6" s="437">
        <f>56918942.49-8588108.86</f>
        <v>48330833.630000003</v>
      </c>
      <c r="R6" s="437">
        <v>84309374.209999993</v>
      </c>
      <c r="S6" s="437">
        <v>69993741.700000003</v>
      </c>
      <c r="T6" s="437">
        <f>56891091.93</f>
        <v>56891091.93</v>
      </c>
      <c r="U6" s="437">
        <v>41425996.219999999</v>
      </c>
      <c r="V6" s="437">
        <v>54276767.850000001</v>
      </c>
      <c r="W6" s="437">
        <v>30104455.289999999</v>
      </c>
      <c r="X6" s="437">
        <v>89346402.209999993</v>
      </c>
      <c r="Y6" s="437">
        <v>133516350.73999999</v>
      </c>
      <c r="Z6" s="437">
        <v>141145183.44</v>
      </c>
      <c r="AA6" s="437">
        <v>136349858.97999999</v>
      </c>
    </row>
    <row r="7" spans="1:27" ht="20.100000000000001" customHeight="1" x14ac:dyDescent="0.25">
      <c r="A7" s="508"/>
      <c r="B7" s="434" t="s">
        <v>118</v>
      </c>
      <c r="C7" s="448" t="s">
        <v>120</v>
      </c>
      <c r="D7" s="435">
        <f t="shared" ref="D7:J7" si="3">(D6-C6)/C6</f>
        <v>-0.34500625153894837</v>
      </c>
      <c r="E7" s="435">
        <f t="shared" si="3"/>
        <v>8.8777240809661248E-2</v>
      </c>
      <c r="F7" s="435">
        <f t="shared" si="3"/>
        <v>8.0043245111923525E-2</v>
      </c>
      <c r="G7" s="435">
        <f t="shared" si="3"/>
        <v>0.10977232283357076</v>
      </c>
      <c r="H7" s="435">
        <f t="shared" si="3"/>
        <v>4.7903678428364516E-2</v>
      </c>
      <c r="I7" s="435">
        <f t="shared" si="3"/>
        <v>-0.37970341877107117</v>
      </c>
      <c r="J7" s="435">
        <f t="shared" si="3"/>
        <v>-2.4973975940623071E-2</v>
      </c>
      <c r="K7" s="435">
        <f>(K6-J6)/J6</f>
        <v>6.0919566604427662E-2</v>
      </c>
      <c r="L7" s="439">
        <f>(L6-K6)/K6</f>
        <v>-0.56764118408945252</v>
      </c>
      <c r="M7" s="435">
        <f t="shared" ref="M7:U7" si="4">(M6-L6)/L6</f>
        <v>0.29224466700852897</v>
      </c>
      <c r="N7" s="435">
        <f t="shared" si="4"/>
        <v>-0.48697758468285213</v>
      </c>
      <c r="O7" s="455">
        <f t="shared" si="4"/>
        <v>-0.26001208392767317</v>
      </c>
      <c r="P7" s="455">
        <f t="shared" si="4"/>
        <v>0.14829233549048901</v>
      </c>
      <c r="Q7" s="455">
        <f t="shared" si="4"/>
        <v>-2.9432472329086894E-2</v>
      </c>
      <c r="R7" s="455">
        <f>(R6-Q6)/Q6</f>
        <v>0.74442209822897254</v>
      </c>
      <c r="S7" s="455">
        <f t="shared" si="4"/>
        <v>-0.16979882301512805</v>
      </c>
      <c r="T7" s="455">
        <f t="shared" si="4"/>
        <v>-0.18719744725405932</v>
      </c>
      <c r="U7" s="455">
        <f t="shared" si="4"/>
        <v>-0.27183685855473788</v>
      </c>
      <c r="V7" s="455">
        <f t="shared" ref="V7:AA7" si="5">(V6-U6)/U6</f>
        <v>0.31021032208262977</v>
      </c>
      <c r="W7" s="455">
        <f t="shared" si="5"/>
        <v>-0.44535283727289965</v>
      </c>
      <c r="X7" s="455">
        <f t="shared" si="5"/>
        <v>1.9678797157867458</v>
      </c>
      <c r="Y7" s="455">
        <f t="shared" si="5"/>
        <v>0.4943673996652137</v>
      </c>
      <c r="Z7" s="455">
        <f t="shared" si="5"/>
        <v>5.713781613800871E-2</v>
      </c>
      <c r="AA7" s="455">
        <f t="shared" si="5"/>
        <v>-3.3974410908881446E-2</v>
      </c>
    </row>
    <row r="8" spans="1:27" ht="20.100000000000001" customHeight="1" x14ac:dyDescent="0.25">
      <c r="A8" s="509" t="s">
        <v>107</v>
      </c>
      <c r="B8" s="420" t="s">
        <v>119</v>
      </c>
      <c r="C8" s="244">
        <v>0</v>
      </c>
      <c r="D8" s="244">
        <v>73446094</v>
      </c>
      <c r="E8" s="243">
        <v>71992222</v>
      </c>
      <c r="F8" s="243">
        <v>67352825</v>
      </c>
      <c r="G8" s="243">
        <v>80470564</v>
      </c>
      <c r="H8" s="243">
        <v>67458009</v>
      </c>
      <c r="I8" s="243">
        <v>77247580.650000006</v>
      </c>
      <c r="J8" s="243">
        <v>88290471.150000006</v>
      </c>
      <c r="K8" s="243">
        <v>105896432.94</v>
      </c>
      <c r="L8" s="244">
        <v>102572523.49000001</v>
      </c>
      <c r="M8" s="243">
        <v>102437381.77</v>
      </c>
      <c r="N8" s="243">
        <v>110212737</v>
      </c>
      <c r="O8" s="244">
        <v>129459265.11</v>
      </c>
      <c r="P8" s="244">
        <f>123021754.96</f>
        <v>123021754.95999999</v>
      </c>
      <c r="Q8" s="244">
        <v>138490866.71000001</v>
      </c>
      <c r="R8" s="244">
        <v>147290158.72</v>
      </c>
      <c r="S8" s="244">
        <v>148986032.56999999</v>
      </c>
      <c r="T8" s="244">
        <f>147150464.68</f>
        <v>147150464.68000001</v>
      </c>
      <c r="U8" s="244">
        <v>163583863.15000001</v>
      </c>
      <c r="V8" s="244">
        <v>183041506.52000001</v>
      </c>
      <c r="W8" s="244">
        <v>183637002.17999998</v>
      </c>
      <c r="X8" s="244">
        <v>231727000.72999999</v>
      </c>
      <c r="Y8" s="244">
        <v>296800935.11000001</v>
      </c>
      <c r="Z8" s="244">
        <v>407336011.3499999</v>
      </c>
      <c r="AA8" s="244">
        <v>423976229.88</v>
      </c>
    </row>
    <row r="9" spans="1:27" ht="20.100000000000001" customHeight="1" x14ac:dyDescent="0.25">
      <c r="A9" s="510"/>
      <c r="B9" s="420" t="s">
        <v>118</v>
      </c>
      <c r="C9" s="449" t="s">
        <v>120</v>
      </c>
      <c r="D9" s="442" t="s">
        <v>120</v>
      </c>
      <c r="E9" s="415">
        <f t="shared" ref="E9:J9" si="6">(E8-D8)/D8</f>
        <v>-1.9795089443422273E-2</v>
      </c>
      <c r="F9" s="415">
        <f t="shared" si="6"/>
        <v>-6.4443031081885482E-2</v>
      </c>
      <c r="G9" s="415">
        <f t="shared" si="6"/>
        <v>0.19476152633538385</v>
      </c>
      <c r="H9" s="415">
        <f t="shared" si="6"/>
        <v>-0.16170577604004366</v>
      </c>
      <c r="I9" s="415">
        <f t="shared" si="6"/>
        <v>0.14512096925362866</v>
      </c>
      <c r="J9" s="415">
        <f t="shared" si="6"/>
        <v>0.14295451594832567</v>
      </c>
      <c r="K9" s="415">
        <f>(K8-J8)/J8</f>
        <v>0.1994095349212551</v>
      </c>
      <c r="L9" s="438">
        <f>(L8-K8)/K8</f>
        <v>-3.1388304192297829E-2</v>
      </c>
      <c r="M9" s="415">
        <f t="shared" ref="M9:U9" si="7">(M8-L8)/L8</f>
        <v>-1.3175235960065752E-3</v>
      </c>
      <c r="N9" s="415">
        <f t="shared" si="7"/>
        <v>7.5903494365541363E-2</v>
      </c>
      <c r="O9" s="454">
        <f t="shared" si="7"/>
        <v>0.17463070634022998</v>
      </c>
      <c r="P9" s="454">
        <f t="shared" si="7"/>
        <v>-4.9726144702969925E-2</v>
      </c>
      <c r="Q9" s="454">
        <f t="shared" si="7"/>
        <v>0.12574289608394654</v>
      </c>
      <c r="R9" s="454">
        <f t="shared" si="7"/>
        <v>6.3536984200017424E-2</v>
      </c>
      <c r="S9" s="454">
        <f t="shared" si="7"/>
        <v>1.1513830012389805E-2</v>
      </c>
      <c r="T9" s="454">
        <f t="shared" si="7"/>
        <v>-1.2320402512480877E-2</v>
      </c>
      <c r="U9" s="454">
        <f t="shared" si="7"/>
        <v>0.11167751665437689</v>
      </c>
      <c r="V9" s="454">
        <f t="shared" ref="V9:AA9" si="8">(V8-U8)/U8</f>
        <v>0.11894598278412161</v>
      </c>
      <c r="W9" s="454">
        <f t="shared" si="8"/>
        <v>3.2533367503446539E-3</v>
      </c>
      <c r="X9" s="454">
        <f t="shared" si="8"/>
        <v>0.26187531913019613</v>
      </c>
      <c r="Y9" s="454">
        <f t="shared" si="8"/>
        <v>0.28082154507243567</v>
      </c>
      <c r="Z9" s="454">
        <f t="shared" si="8"/>
        <v>0.37242159024544014</v>
      </c>
      <c r="AA9" s="454">
        <f t="shared" si="8"/>
        <v>4.0851331741700907E-2</v>
      </c>
    </row>
    <row r="10" spans="1:27" ht="20.100000000000001" customHeight="1" x14ac:dyDescent="0.25">
      <c r="A10" s="507" t="s">
        <v>0</v>
      </c>
      <c r="B10" s="431" t="s">
        <v>119</v>
      </c>
      <c r="C10" s="433">
        <v>409228335</v>
      </c>
      <c r="D10" s="433">
        <v>888159578</v>
      </c>
      <c r="E10" s="432">
        <v>1062290827</v>
      </c>
      <c r="F10" s="432">
        <v>1162028720</v>
      </c>
      <c r="G10" s="432">
        <v>1263687819</v>
      </c>
      <c r="H10" s="432">
        <v>1392612917</v>
      </c>
      <c r="I10" s="432">
        <v>1430243381.6199999</v>
      </c>
      <c r="J10" s="432">
        <v>1603189929.04</v>
      </c>
      <c r="K10" s="432">
        <v>1843792357.4300001</v>
      </c>
      <c r="L10" s="433">
        <v>1277180357.0700002</v>
      </c>
      <c r="M10" s="432">
        <v>1248756805.1500001</v>
      </c>
      <c r="N10" s="432">
        <v>1135927487.47</v>
      </c>
      <c r="O10" s="433">
        <v>1271060771.3900001</v>
      </c>
      <c r="P10" s="433">
        <f>1218826234.53</f>
        <v>1218826234.53</v>
      </c>
      <c r="Q10" s="433">
        <v>1320936831.9299998</v>
      </c>
      <c r="R10" s="433">
        <v>1350117402.0699999</v>
      </c>
      <c r="S10" s="433">
        <v>1539501529.52</v>
      </c>
      <c r="T10" s="433">
        <v>1566737436.8199999</v>
      </c>
      <c r="U10" s="433">
        <v>1501605470.3099999</v>
      </c>
      <c r="V10" s="433">
        <v>1705001750.8900001</v>
      </c>
      <c r="W10" s="433">
        <v>1374322595.1600001</v>
      </c>
      <c r="X10" s="433">
        <v>1955031614.8699999</v>
      </c>
      <c r="Y10" s="433">
        <v>2243851139.6100001</v>
      </c>
      <c r="Z10" s="433">
        <v>2953173699.5599999</v>
      </c>
      <c r="AA10" s="433">
        <v>2626124215.54</v>
      </c>
    </row>
    <row r="11" spans="1:27" ht="20.100000000000001" customHeight="1" x14ac:dyDescent="0.25">
      <c r="A11" s="508"/>
      <c r="B11" s="434" t="s">
        <v>118</v>
      </c>
      <c r="C11" s="448" t="s">
        <v>120</v>
      </c>
      <c r="D11" s="435">
        <f t="shared" ref="D11:J11" si="9">(D10-C10)/C10</f>
        <v>1.1703276680486947</v>
      </c>
      <c r="E11" s="435">
        <f t="shared" si="9"/>
        <v>0.19605851618705394</v>
      </c>
      <c r="F11" s="435">
        <f t="shared" si="9"/>
        <v>9.3889442010591698E-2</v>
      </c>
      <c r="G11" s="435">
        <f t="shared" si="9"/>
        <v>8.7484153575825563E-2</v>
      </c>
      <c r="H11" s="435">
        <f t="shared" si="9"/>
        <v>0.10202290159133044</v>
      </c>
      <c r="I11" s="435">
        <f t="shared" si="9"/>
        <v>2.7021481820708897E-2</v>
      </c>
      <c r="J11" s="435">
        <f t="shared" si="9"/>
        <v>0.12092106115821209</v>
      </c>
      <c r="K11" s="435">
        <f>(K10-J10)/J10</f>
        <v>0.15007730776731759</v>
      </c>
      <c r="L11" s="439">
        <f>(L10-K10)/K10</f>
        <v>-0.30730792330096285</v>
      </c>
      <c r="M11" s="435">
        <f t="shared" ref="M11:U11" si="10">(M10-L10)/L10</f>
        <v>-2.2254924108923033E-2</v>
      </c>
      <c r="N11" s="435">
        <f t="shared" si="10"/>
        <v>-9.0353315565272985E-2</v>
      </c>
      <c r="O11" s="455">
        <f t="shared" si="10"/>
        <v>0.11896294914121353</v>
      </c>
      <c r="P11" s="455">
        <f t="shared" si="10"/>
        <v>-4.1095231664555074E-2</v>
      </c>
      <c r="Q11" s="455">
        <f t="shared" si="10"/>
        <v>8.3777813856603961E-2</v>
      </c>
      <c r="R11" s="455">
        <f t="shared" si="10"/>
        <v>2.2090814212035285E-2</v>
      </c>
      <c r="S11" s="455">
        <f t="shared" si="10"/>
        <v>0.14027234013844744</v>
      </c>
      <c r="T11" s="455">
        <f t="shared" si="10"/>
        <v>1.7691380474621429E-2</v>
      </c>
      <c r="U11" s="455">
        <f t="shared" si="10"/>
        <v>-4.1571717748825898E-2</v>
      </c>
      <c r="V11" s="455">
        <f t="shared" ref="V11:AA11" si="11">(V10-U10)/U10</f>
        <v>0.13545254369512244</v>
      </c>
      <c r="W11" s="455">
        <f t="shared" si="11"/>
        <v>-0.19394651973664404</v>
      </c>
      <c r="X11" s="455">
        <f t="shared" si="11"/>
        <v>0.42254200124126828</v>
      </c>
      <c r="Y11" s="455">
        <f t="shared" si="11"/>
        <v>0.14773138323863133</v>
      </c>
      <c r="Z11" s="455">
        <f t="shared" si="11"/>
        <v>0.31611836784916397</v>
      </c>
      <c r="AA11" s="455">
        <f t="shared" si="11"/>
        <v>-0.11074508894235643</v>
      </c>
    </row>
    <row r="12" spans="1:27" ht="20.100000000000001" customHeight="1" x14ac:dyDescent="0.25">
      <c r="A12" s="511" t="s">
        <v>1</v>
      </c>
      <c r="B12" s="421" t="s">
        <v>119</v>
      </c>
      <c r="C12" s="414">
        <v>0</v>
      </c>
      <c r="D12" s="414">
        <v>1562798546</v>
      </c>
      <c r="E12" s="413">
        <v>1651195531</v>
      </c>
      <c r="F12" s="413">
        <v>1750826845</v>
      </c>
      <c r="G12" s="413">
        <v>1862131020</v>
      </c>
      <c r="H12" s="413">
        <v>2191420551</v>
      </c>
      <c r="I12" s="413">
        <v>2308814439</v>
      </c>
      <c r="J12" s="413">
        <v>2428454954</v>
      </c>
      <c r="K12" s="413">
        <v>2634433848.4899998</v>
      </c>
      <c r="L12" s="414">
        <v>2567991172</v>
      </c>
      <c r="M12" s="413">
        <v>2688615529.5999999</v>
      </c>
      <c r="N12" s="413">
        <v>2737091042</v>
      </c>
      <c r="O12" s="414">
        <v>2565161272</v>
      </c>
      <c r="P12" s="414">
        <f>2580681945.54</f>
        <v>2580681945.54</v>
      </c>
      <c r="Q12" s="414">
        <v>2667641564.3200002</v>
      </c>
      <c r="R12" s="414">
        <v>2698545507.9899998</v>
      </c>
      <c r="S12" s="414">
        <v>2814007939.02</v>
      </c>
      <c r="T12" s="414">
        <v>3177404084.8200002</v>
      </c>
      <c r="U12" s="414">
        <v>3698685906.6599998</v>
      </c>
      <c r="V12" s="414">
        <v>3838579017.2199998</v>
      </c>
      <c r="W12" s="414">
        <v>3770485099.27</v>
      </c>
      <c r="X12" s="414">
        <v>4373309276.6899996</v>
      </c>
      <c r="Y12" s="414">
        <v>5098668513.0900002</v>
      </c>
      <c r="Z12" s="414">
        <v>5316407954.6099997</v>
      </c>
      <c r="AA12" s="414">
        <v>5271516085.3000002</v>
      </c>
    </row>
    <row r="13" spans="1:27" ht="20.100000000000001" customHeight="1" thickBot="1" x14ac:dyDescent="0.3">
      <c r="A13" s="504"/>
      <c r="B13" s="429" t="s">
        <v>118</v>
      </c>
      <c r="C13" s="450" t="s">
        <v>120</v>
      </c>
      <c r="D13" s="443" t="s">
        <v>120</v>
      </c>
      <c r="E13" s="430">
        <f t="shared" ref="E13:J13" si="12">(E12-D12)/D12</f>
        <v>5.6563262889035217E-2</v>
      </c>
      <c r="F13" s="430">
        <f t="shared" si="12"/>
        <v>6.0338895139609001E-2</v>
      </c>
      <c r="G13" s="430">
        <f t="shared" si="12"/>
        <v>6.3572348869256681E-2</v>
      </c>
      <c r="H13" s="430">
        <f t="shared" si="12"/>
        <v>0.17683478093823923</v>
      </c>
      <c r="I13" s="430">
        <f t="shared" si="12"/>
        <v>5.3569766855764055E-2</v>
      </c>
      <c r="J13" s="430">
        <f t="shared" si="12"/>
        <v>5.1819025807816339E-2</v>
      </c>
      <c r="K13" s="430">
        <f>(K12-J12)/J12</f>
        <v>8.4818906832397345E-2</v>
      </c>
      <c r="L13" s="440">
        <f>(L12-K12)/K12</f>
        <v>-2.5220855907269513E-2</v>
      </c>
      <c r="M13" s="430">
        <f t="shared" ref="M13:U13" si="13">(M12-L12)/L12</f>
        <v>4.6972263345459779E-2</v>
      </c>
      <c r="N13" s="430">
        <f t="shared" si="13"/>
        <v>1.8029916091131134E-2</v>
      </c>
      <c r="O13" s="456">
        <f t="shared" si="13"/>
        <v>-6.2814779399654325E-2</v>
      </c>
      <c r="P13" s="456">
        <f t="shared" si="13"/>
        <v>6.0505644262665919E-3</v>
      </c>
      <c r="Q13" s="456">
        <f t="shared" si="13"/>
        <v>3.3696371972643135E-2</v>
      </c>
      <c r="R13" s="456">
        <f t="shared" si="13"/>
        <v>1.1584743648975654E-2</v>
      </c>
      <c r="S13" s="456">
        <f t="shared" si="13"/>
        <v>4.2786912686161041E-2</v>
      </c>
      <c r="T13" s="456">
        <f t="shared" si="13"/>
        <v>0.1291382802304942</v>
      </c>
      <c r="U13" s="456">
        <f t="shared" si="13"/>
        <v>0.16405902677925532</v>
      </c>
      <c r="V13" s="456">
        <f t="shared" ref="V13:AA13" si="14">(V12-U12)/U12</f>
        <v>3.7822381810821752E-2</v>
      </c>
      <c r="W13" s="456">
        <f t="shared" si="14"/>
        <v>-1.773935553873663E-2</v>
      </c>
      <c r="X13" s="456">
        <f t="shared" si="14"/>
        <v>0.15987974001984834</v>
      </c>
      <c r="Y13" s="456">
        <f t="shared" si="14"/>
        <v>0.1658604938521519</v>
      </c>
      <c r="Z13" s="456">
        <f t="shared" si="14"/>
        <v>4.2705157427079046E-2</v>
      </c>
      <c r="AA13" s="456">
        <f t="shared" si="14"/>
        <v>-8.4440226734429826E-3</v>
      </c>
    </row>
    <row r="14" spans="1:27" ht="20.100000000000001" customHeight="1" thickTop="1" x14ac:dyDescent="0.25">
      <c r="A14" s="503" t="s">
        <v>50</v>
      </c>
      <c r="B14" s="425" t="s">
        <v>119</v>
      </c>
      <c r="C14" s="427">
        <f t="shared" ref="C14:Y14" si="15">C4+C6+C8+C10+C12</f>
        <v>2868314686</v>
      </c>
      <c r="D14" s="427">
        <f t="shared" si="15"/>
        <v>3641527811.6999998</v>
      </c>
      <c r="E14" s="427">
        <f t="shared" si="15"/>
        <v>4011966165.0299997</v>
      </c>
      <c r="F14" s="427">
        <f t="shared" si="15"/>
        <v>4306215360.8800001</v>
      </c>
      <c r="G14" s="427">
        <f t="shared" si="15"/>
        <v>4665573853.0599995</v>
      </c>
      <c r="H14" s="427">
        <f t="shared" si="15"/>
        <v>5197134360.3099995</v>
      </c>
      <c r="I14" s="427">
        <f t="shared" si="15"/>
        <v>5251744699.4099998</v>
      </c>
      <c r="J14" s="427">
        <f t="shared" si="15"/>
        <v>5691223592.4099998</v>
      </c>
      <c r="K14" s="441">
        <f t="shared" si="15"/>
        <v>6035134624.6700001</v>
      </c>
      <c r="L14" s="441">
        <f t="shared" si="15"/>
        <v>5196473691.6400003</v>
      </c>
      <c r="M14" s="427">
        <f t="shared" si="15"/>
        <v>5340147275.3500004</v>
      </c>
      <c r="N14" s="427">
        <f t="shared" si="15"/>
        <v>5285885240.3900003</v>
      </c>
      <c r="O14" s="427">
        <f t="shared" si="15"/>
        <v>5257934538.21</v>
      </c>
      <c r="P14" s="427">
        <f t="shared" si="15"/>
        <v>5211054775.0200005</v>
      </c>
      <c r="Q14" s="426">
        <f t="shared" si="15"/>
        <v>5434439599.5500002</v>
      </c>
      <c r="R14" s="426">
        <f t="shared" si="15"/>
        <v>5558720394.0100002</v>
      </c>
      <c r="S14" s="428">
        <f t="shared" si="15"/>
        <v>6031790868.29</v>
      </c>
      <c r="T14" s="427">
        <f t="shared" si="15"/>
        <v>6603908970.8600006</v>
      </c>
      <c r="U14" s="427">
        <f t="shared" si="15"/>
        <v>7259909173.1899996</v>
      </c>
      <c r="V14" s="427">
        <f t="shared" si="15"/>
        <v>7846036640.2800007</v>
      </c>
      <c r="W14" s="427">
        <f t="shared" si="15"/>
        <v>7295949432.6299992</v>
      </c>
      <c r="X14" s="427">
        <f t="shared" si="15"/>
        <v>8071844116.8699989</v>
      </c>
      <c r="Y14" s="427">
        <f t="shared" si="15"/>
        <v>9293175115</v>
      </c>
      <c r="Z14" s="427">
        <f t="shared" ref="Z14:AA14" si="16">Z4+Z6+Z8+Z10+Z12</f>
        <v>10576396041.130001</v>
      </c>
      <c r="AA14" s="427">
        <f t="shared" si="16"/>
        <v>10383194147.700001</v>
      </c>
    </row>
    <row r="15" spans="1:27" ht="20.100000000000001" customHeight="1" thickBot="1" x14ac:dyDescent="0.3">
      <c r="A15" s="504"/>
      <c r="B15" s="423" t="s">
        <v>118</v>
      </c>
      <c r="C15" s="445"/>
      <c r="D15" s="445"/>
      <c r="E15" s="444" t="s">
        <v>120</v>
      </c>
      <c r="F15" s="422">
        <f t="shared" ref="F15:K15" si="17">(F14-E14)/E14</f>
        <v>7.3342890679089293E-2</v>
      </c>
      <c r="G15" s="422">
        <f t="shared" si="17"/>
        <v>8.3451119385390501E-2</v>
      </c>
      <c r="H15" s="422">
        <f t="shared" si="17"/>
        <v>0.11393250305133774</v>
      </c>
      <c r="I15" s="422">
        <f t="shared" si="17"/>
        <v>1.0507778963163648E-2</v>
      </c>
      <c r="J15" s="422">
        <f t="shared" si="17"/>
        <v>8.3682455670279002E-2</v>
      </c>
      <c r="K15" s="422">
        <f t="shared" si="17"/>
        <v>6.0428311535440482E-2</v>
      </c>
      <c r="L15" s="422">
        <f>(L14-K14)/K14</f>
        <v>-0.13896308619227488</v>
      </c>
      <c r="M15" s="424">
        <f t="shared" ref="M15:V15" si="18">(M14-L14)/L14</f>
        <v>2.7648284632161169E-2</v>
      </c>
      <c r="N15" s="424">
        <f t="shared" si="18"/>
        <v>-1.0161149526806568E-2</v>
      </c>
      <c r="O15" s="458">
        <f t="shared" si="18"/>
        <v>-5.287799660580233E-3</v>
      </c>
      <c r="P15" s="458">
        <f t="shared" si="18"/>
        <v>-8.9160035845480927E-3</v>
      </c>
      <c r="Q15" s="459">
        <f t="shared" si="18"/>
        <v>4.2867487327293036E-2</v>
      </c>
      <c r="R15" s="457">
        <f t="shared" si="18"/>
        <v>2.2869109534365075E-2</v>
      </c>
      <c r="S15" s="460">
        <f t="shared" si="18"/>
        <v>8.510420398006957E-2</v>
      </c>
      <c r="T15" s="457">
        <f t="shared" si="18"/>
        <v>9.4850454046361013E-2</v>
      </c>
      <c r="U15" s="457">
        <f t="shared" si="18"/>
        <v>9.9335136996076837E-2</v>
      </c>
      <c r="V15" s="457">
        <f t="shared" si="18"/>
        <v>8.073482093336673E-2</v>
      </c>
      <c r="W15" s="457">
        <f>(W14-V14)/V14</f>
        <v>-7.0110201222609969E-2</v>
      </c>
      <c r="X15" s="457">
        <f>(X14-W14)/W14</f>
        <v>0.10634595146314083</v>
      </c>
      <c r="Y15" s="457">
        <f>(Y14-X14)/X14</f>
        <v>0.15130755505764076</v>
      </c>
      <c r="Z15" s="457">
        <f>(Z14-Y14)/Y14</f>
        <v>0.13808207746551229</v>
      </c>
      <c r="AA15" s="457">
        <f>(AA14-Z14)/Z14</f>
        <v>-1.8267271070284002E-2</v>
      </c>
    </row>
    <row r="16" spans="1:27" ht="15.75" thickTop="1" x14ac:dyDescent="0.25">
      <c r="A16" s="493"/>
    </row>
    <row r="17" spans="5:15" x14ac:dyDescent="0.25"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5:15" x14ac:dyDescent="0.25"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</sheetData>
  <mergeCells count="7">
    <mergeCell ref="A1:AA1"/>
    <mergeCell ref="A14:A15"/>
    <mergeCell ref="A4:A5"/>
    <mergeCell ref="A6:A7"/>
    <mergeCell ref="A8:A9"/>
    <mergeCell ref="A10:A11"/>
    <mergeCell ref="A12:A1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4" fitToHeight="0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0">
    <tabColor theme="1" tint="0.14999847407452621"/>
  </sheetPr>
  <dimension ref="A1:S50"/>
  <sheetViews>
    <sheetView showGridLines="0" topLeftCell="A64" zoomScaleNormal="100" workbookViewId="0">
      <selection activeCell="Q73" sqref="Q73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48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12.75" customHeight="1" x14ac:dyDescent="0.3">
      <c r="B2" s="587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92"/>
      <c r="P2" s="592"/>
      <c r="Q2" s="592"/>
      <c r="R2" s="592"/>
      <c r="S2" s="592"/>
    </row>
    <row r="3" spans="1:19" ht="12.75" customHeight="1" x14ac:dyDescent="0.25">
      <c r="A3" s="59"/>
    </row>
    <row r="4" spans="1:19" ht="12.75" customHeight="1" x14ac:dyDescent="0.2"/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49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  <row r="49" spans="2:19" ht="12.75" customHeight="1" x14ac:dyDescent="0.3">
      <c r="B49" s="587"/>
      <c r="C49" s="586"/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92"/>
      <c r="P49" s="592"/>
      <c r="Q49" s="592"/>
      <c r="R49" s="592"/>
      <c r="S49" s="592"/>
    </row>
    <row r="50" spans="2:19" ht="12.75" customHeight="1" x14ac:dyDescent="0.2"/>
  </sheetData>
  <mergeCells count="4">
    <mergeCell ref="B1:S1"/>
    <mergeCell ref="B48:S48"/>
    <mergeCell ref="B2:S2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 tint="0.14999847407452621"/>
    <pageSetUpPr fitToPage="1"/>
  </sheetPr>
  <dimension ref="A1:N48"/>
  <sheetViews>
    <sheetView showGridLines="0" topLeftCell="A7" zoomScale="115" zoomScaleNormal="115" workbookViewId="0">
      <selection activeCell="B40" sqref="B40"/>
    </sheetView>
  </sheetViews>
  <sheetFormatPr defaultColWidth="9.140625" defaultRowHeight="12.75" x14ac:dyDescent="0.2"/>
  <cols>
    <col min="1" max="1" width="8.7109375" style="66" customWidth="1"/>
    <col min="2" max="7" width="12.5703125" style="66" customWidth="1"/>
    <col min="8" max="8" width="13.5703125" style="66" bestFit="1" customWidth="1"/>
    <col min="9" max="10" width="12.5703125" style="66" customWidth="1"/>
    <col min="11" max="11" width="13.5703125" style="66" bestFit="1" customWidth="1"/>
    <col min="12" max="13" width="12.570312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85" t="s">
        <v>51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20.25" x14ac:dyDescent="0.3">
      <c r="A2" s="587" t="s">
        <v>57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</row>
    <row r="3" spans="1:14" ht="13.5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72" t="s">
        <v>26</v>
      </c>
      <c r="N3" s="73"/>
    </row>
    <row r="4" spans="1:14" x14ac:dyDescent="0.2">
      <c r="A4" s="567" t="s">
        <v>2</v>
      </c>
      <c r="B4" s="588" t="s">
        <v>27</v>
      </c>
      <c r="C4" s="571"/>
      <c r="D4" s="572"/>
      <c r="E4" s="589" t="s">
        <v>28</v>
      </c>
      <c r="F4" s="571"/>
      <c r="G4" s="572"/>
      <c r="H4" s="590" t="s">
        <v>29</v>
      </c>
      <c r="I4" s="571"/>
      <c r="J4" s="572"/>
      <c r="K4" s="591" t="s">
        <v>30</v>
      </c>
      <c r="L4" s="571"/>
      <c r="M4" s="572"/>
      <c r="N4" s="73"/>
    </row>
    <row r="5" spans="1:14" ht="13.5" thickBot="1" x14ac:dyDescent="0.25">
      <c r="A5" s="568"/>
      <c r="B5" s="573"/>
      <c r="C5" s="574"/>
      <c r="D5" s="575"/>
      <c r="E5" s="573"/>
      <c r="F5" s="574"/>
      <c r="G5" s="575"/>
      <c r="H5" s="573"/>
      <c r="I5" s="574"/>
      <c r="J5" s="575"/>
      <c r="K5" s="573"/>
      <c r="L5" s="574"/>
      <c r="M5" s="575"/>
      <c r="N5" s="71"/>
    </row>
    <row r="6" spans="1:14" x14ac:dyDescent="0.2">
      <c r="A6" s="568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55" t="s">
        <v>5</v>
      </c>
      <c r="I6" s="557" t="s">
        <v>31</v>
      </c>
      <c r="J6" s="559" t="s">
        <v>32</v>
      </c>
      <c r="K6" s="584" t="s">
        <v>6</v>
      </c>
      <c r="L6" s="557" t="s">
        <v>31</v>
      </c>
      <c r="M6" s="559" t="s">
        <v>32</v>
      </c>
    </row>
    <row r="7" spans="1:14" ht="13.5" thickBot="1" x14ac:dyDescent="0.25">
      <c r="A7" s="569"/>
      <c r="B7" s="556"/>
      <c r="C7" s="558"/>
      <c r="D7" s="560"/>
      <c r="E7" s="556"/>
      <c r="F7" s="558"/>
      <c r="G7" s="560"/>
      <c r="H7" s="556"/>
      <c r="I7" s="558"/>
      <c r="J7" s="560"/>
      <c r="K7" s="556"/>
      <c r="L7" s="558"/>
      <c r="M7" s="560"/>
    </row>
    <row r="8" spans="1:14" x14ac:dyDescent="0.2">
      <c r="A8" s="74" t="s">
        <v>7</v>
      </c>
      <c r="B8" s="75">
        <f>49562586.77+70062348.81</f>
        <v>119624935.58000001</v>
      </c>
      <c r="C8" s="76">
        <f>C20/12</f>
        <v>96063833.333333328</v>
      </c>
      <c r="D8" s="77">
        <f>B8-C8</f>
        <v>23561102.246666685</v>
      </c>
      <c r="E8" s="78">
        <f>3452080.3+4879907.77</f>
        <v>8331988.0699999994</v>
      </c>
      <c r="F8" s="76">
        <f>F20/12</f>
        <v>6797083.333333333</v>
      </c>
      <c r="G8" s="77">
        <f>E8-F8</f>
        <v>1534904.7366666663</v>
      </c>
      <c r="H8" s="78">
        <f>3551236.35+6159.6+3723</f>
        <v>3561118.95</v>
      </c>
      <c r="I8" s="76">
        <f>I20/12</f>
        <v>1545333.3333333333</v>
      </c>
      <c r="J8" s="79">
        <f>H8-I8</f>
        <v>2015785.6166666669</v>
      </c>
      <c r="K8" s="78">
        <f>4108675.36+504599.03</f>
        <v>4613274.3899999997</v>
      </c>
      <c r="L8" s="76">
        <f>L20/12</f>
        <v>927916.66666666663</v>
      </c>
      <c r="M8" s="79">
        <f>K8-L8</f>
        <v>3685357.7233333332</v>
      </c>
    </row>
    <row r="9" spans="1:14" x14ac:dyDescent="0.2">
      <c r="A9" s="80" t="s">
        <v>8</v>
      </c>
      <c r="B9" s="81">
        <f>45980362.99+57892164.79</f>
        <v>103872527.78</v>
      </c>
      <c r="C9" s="82">
        <f>C8*2</f>
        <v>192127666.66666666</v>
      </c>
      <c r="D9" s="77">
        <f>SUM(B8+B9)-C9</f>
        <v>31369796.693333358</v>
      </c>
      <c r="E9" s="75">
        <f>3202575.05+4032243.12</f>
        <v>7234818.1699999999</v>
      </c>
      <c r="F9" s="82">
        <f>F8*2</f>
        <v>13594166.666666666</v>
      </c>
      <c r="G9" s="77">
        <f>SUM(E8+E9)-F9</f>
        <v>1972639.5733333323</v>
      </c>
      <c r="H9" s="75">
        <f>55.37</f>
        <v>55.37</v>
      </c>
      <c r="I9" s="82">
        <f>I8*2</f>
        <v>3090666.6666666665</v>
      </c>
      <c r="J9" s="77">
        <f>SUM(H8+H9)-I9</f>
        <v>470507.65333333379</v>
      </c>
      <c r="K9" s="81">
        <f>658528.83+681082.41</f>
        <v>1339611.24</v>
      </c>
      <c r="L9" s="82">
        <f>L8*2</f>
        <v>1855833.3333333333</v>
      </c>
      <c r="M9" s="77">
        <f>SUM(K8+K9)-L9</f>
        <v>4097052.2966666669</v>
      </c>
    </row>
    <row r="10" spans="1:14" x14ac:dyDescent="0.2">
      <c r="A10" s="80" t="s">
        <v>9</v>
      </c>
      <c r="B10" s="81">
        <f>40281091.34+44988063.15</f>
        <v>85269154.49000001</v>
      </c>
      <c r="C10" s="82">
        <f>C8*3</f>
        <v>288191500</v>
      </c>
      <c r="D10" s="77">
        <f>SUM(B8+B9+B10)-C10</f>
        <v>20575117.850000024</v>
      </c>
      <c r="E10" s="75">
        <f>2805615.48+3133460.4</f>
        <v>5939075.8799999999</v>
      </c>
      <c r="F10" s="83">
        <f>F8*3</f>
        <v>20391250</v>
      </c>
      <c r="G10" s="77">
        <f>SUM(E8+E9+E10)-F10</f>
        <v>1114632.1199999973</v>
      </c>
      <c r="H10" s="75">
        <f>5791893.47+4538.4</f>
        <v>5796431.8700000001</v>
      </c>
      <c r="I10" s="83">
        <f>I8*3</f>
        <v>4636000</v>
      </c>
      <c r="J10" s="77">
        <f>SUM(H8+H9+H10)-I10</f>
        <v>4721606.1900000013</v>
      </c>
      <c r="K10" s="81">
        <f>1591998+856338.59</f>
        <v>2448336.59</v>
      </c>
      <c r="L10" s="83">
        <f>L8*3</f>
        <v>2783750</v>
      </c>
      <c r="M10" s="77">
        <f>SUM(K8+K9+K10)-L10</f>
        <v>5617472.2199999988</v>
      </c>
    </row>
    <row r="11" spans="1:14" x14ac:dyDescent="0.2">
      <c r="A11" s="80" t="s">
        <v>10</v>
      </c>
      <c r="B11" s="81">
        <f>31150989.8+46632875.46</f>
        <v>77783865.260000005</v>
      </c>
      <c r="C11" s="82">
        <f>C8*4</f>
        <v>384255333.33333331</v>
      </c>
      <c r="D11" s="77">
        <f>SUM(B8+B9+B10+B11)-C11</f>
        <v>2295149.7766667008</v>
      </c>
      <c r="E11" s="75">
        <f>2169695.45+3248023.13</f>
        <v>5417718.5800000001</v>
      </c>
      <c r="F11" s="82">
        <f>F8*4</f>
        <v>27188333.333333332</v>
      </c>
      <c r="G11" s="77">
        <f>SUM(E8+E9+E10+E11)-F11</f>
        <v>-264732.63333333656</v>
      </c>
      <c r="H11" s="75">
        <v>0</v>
      </c>
      <c r="I11" s="82">
        <f>I8*4</f>
        <v>6181333.333333333</v>
      </c>
      <c r="J11" s="77">
        <f>SUM(H8+H9+H10+H11)-I11</f>
        <v>3176272.8566666683</v>
      </c>
      <c r="K11" s="81">
        <v>0</v>
      </c>
      <c r="L11" s="82">
        <f>L8*4</f>
        <v>3711666.6666666665</v>
      </c>
      <c r="M11" s="77">
        <f>SUM(K8+K9+K10+K11)-L11</f>
        <v>4689555.5533333328</v>
      </c>
    </row>
    <row r="12" spans="1:14" x14ac:dyDescent="0.2">
      <c r="A12" s="80" t="s">
        <v>11</v>
      </c>
      <c r="B12" s="136">
        <f>26079295.73+56138648.67</f>
        <v>82217944.400000006</v>
      </c>
      <c r="C12" s="82">
        <f>C8*5</f>
        <v>480319166.66666663</v>
      </c>
      <c r="D12" s="77">
        <f>SUM(B8+B9+B10+B11+B12)-C12</f>
        <v>-11550739.156666636</v>
      </c>
      <c r="E12" s="137">
        <f>1816447.22+4397665.6</f>
        <v>6214112.8199999994</v>
      </c>
      <c r="F12" s="82">
        <f>F8*5</f>
        <v>33985416.666666664</v>
      </c>
      <c r="G12" s="77">
        <f>SUM(E8+E9+E10+E11+E12)-F12</f>
        <v>-847703.14666666836</v>
      </c>
      <c r="H12" s="75">
        <v>1005</v>
      </c>
      <c r="I12" s="82">
        <f>I8*5</f>
        <v>7726666.666666666</v>
      </c>
      <c r="J12" s="77">
        <f>SUM(H8+H9+H10+H11+H12)-I12</f>
        <v>1631944.5233333353</v>
      </c>
      <c r="K12" s="81">
        <v>0</v>
      </c>
      <c r="L12" s="82">
        <f>L8*5</f>
        <v>4639583.333333333</v>
      </c>
      <c r="M12" s="77">
        <f>SUM(K8+K9+K10+K11+K12)-L12</f>
        <v>3761638.8866666658</v>
      </c>
    </row>
    <row r="13" spans="1:14" x14ac:dyDescent="0.2">
      <c r="A13" s="80" t="s">
        <v>12</v>
      </c>
      <c r="B13" s="81">
        <f>36917730.77+53209282.62</f>
        <v>90127013.390000001</v>
      </c>
      <c r="C13" s="82">
        <f>C8*6</f>
        <v>576383000</v>
      </c>
      <c r="D13" s="77">
        <f>SUM(B8+B9+B10+B11+B12+B13)-C13</f>
        <v>-17487559.100000024</v>
      </c>
      <c r="E13" s="75">
        <f>2571354.27+4193632.54</f>
        <v>6764986.8100000005</v>
      </c>
      <c r="F13" s="82">
        <f>F8*6</f>
        <v>40782500</v>
      </c>
      <c r="G13" s="77">
        <f>SUM(E8+E9+E10+E11+E12+E13)-F13</f>
        <v>-879799.67000000179</v>
      </c>
      <c r="H13" s="75">
        <f>8042+39950.7</f>
        <v>47992.7</v>
      </c>
      <c r="I13" s="82">
        <f>I8*6</f>
        <v>9272000</v>
      </c>
      <c r="J13" s="77">
        <f>SUM(H8+H9+H10+H11+H12+H13)-I13</f>
        <v>134603.8900000006</v>
      </c>
      <c r="K13" s="81">
        <v>0</v>
      </c>
      <c r="L13" s="82">
        <f>L8*6</f>
        <v>5567500</v>
      </c>
      <c r="M13" s="77">
        <f>SUM(K8+K9+K10+K11+K12+K13)-L13</f>
        <v>2833722.2199999988</v>
      </c>
    </row>
    <row r="14" spans="1:14" x14ac:dyDescent="0.2">
      <c r="A14" s="80" t="s">
        <v>13</v>
      </c>
      <c r="B14" s="81">
        <f>45234631.71+66414766.27</f>
        <v>111649397.98</v>
      </c>
      <c r="C14" s="82">
        <f>C8*7</f>
        <v>672446833.33333325</v>
      </c>
      <c r="D14" s="77">
        <f>SUM(B8+B9+B10+B11+B12+B13+B14)-C14</f>
        <v>-1901994.4533332586</v>
      </c>
      <c r="E14" s="75">
        <f>3150634.19+4625850.23</f>
        <v>7776484.4199999999</v>
      </c>
      <c r="F14" s="82">
        <f>F8*7</f>
        <v>47579583.333333328</v>
      </c>
      <c r="G14" s="77">
        <f>SUM(E8+E9+E10+E11+E12+E13+E14)-F14</f>
        <v>99601.416666671634</v>
      </c>
      <c r="H14" s="75">
        <f>3174+69663.6</f>
        <v>72837.600000000006</v>
      </c>
      <c r="I14" s="82">
        <f>I8*7</f>
        <v>10817333.333333332</v>
      </c>
      <c r="J14" s="77">
        <f>SUM(H8+H9+H10+H11+H12+H13+H14)-I14</f>
        <v>-1337891.8433333319</v>
      </c>
      <c r="K14" s="81">
        <v>0</v>
      </c>
      <c r="L14" s="82">
        <f>L8*7</f>
        <v>6495416.666666666</v>
      </c>
      <c r="M14" s="77">
        <f>SUM(K8+K9+K10+K11+K12+K13+K14)-L14</f>
        <v>1905805.5533333328</v>
      </c>
    </row>
    <row r="15" spans="1:14" x14ac:dyDescent="0.2">
      <c r="A15" s="80" t="s">
        <v>14</v>
      </c>
      <c r="B15" s="81">
        <f>38336123.95+67095703.63</f>
        <v>105431827.58000001</v>
      </c>
      <c r="C15" s="82">
        <f>C8*8</f>
        <v>768510666.66666663</v>
      </c>
      <c r="D15" s="77">
        <f>SUM(B8+B9+B10+B11+B12+B13+B14+B15)-C15</f>
        <v>7465999.7933334112</v>
      </c>
      <c r="E15" s="75">
        <f>2670146.68+4673278.17</f>
        <v>7343424.8499999996</v>
      </c>
      <c r="F15" s="82">
        <f>F8*8</f>
        <v>54376666.666666664</v>
      </c>
      <c r="G15" s="77">
        <f>SUM(E8+E9+E10+E11+E12+E13+E14+E15)-F15</f>
        <v>645942.93333333731</v>
      </c>
      <c r="H15" s="75">
        <f>6391.2+8429841.8+5320089.58</f>
        <v>13756322.58</v>
      </c>
      <c r="I15" s="82">
        <f>I8*8</f>
        <v>12362666.666666666</v>
      </c>
      <c r="J15" s="77">
        <f>SUM(H8+H9+H10+H11+H12+H13+H14+H15)-I15</f>
        <v>10873097.403333334</v>
      </c>
      <c r="K15" s="81">
        <v>0</v>
      </c>
      <c r="L15" s="82">
        <f>L8*8</f>
        <v>7423333.333333333</v>
      </c>
      <c r="M15" s="77">
        <f>SUM(K8+K9+K10+K11+K12+K13+K14+K15)-L15</f>
        <v>977888.88666666579</v>
      </c>
    </row>
    <row r="16" spans="1:14" x14ac:dyDescent="0.2">
      <c r="A16" s="80" t="s">
        <v>15</v>
      </c>
      <c r="B16" s="81">
        <f>38089770.34+53569405.32</f>
        <v>91659175.659999996</v>
      </c>
      <c r="C16" s="82">
        <f>C8*9</f>
        <v>864574500</v>
      </c>
      <c r="D16" s="77">
        <f>SUM(B8+B9+B10+B11+B12+B13+B14+B15+B16)-C16</f>
        <v>3061342.1200000048</v>
      </c>
      <c r="E16" s="75">
        <f>2652987.92+3621567.38</f>
        <v>6274555.2999999998</v>
      </c>
      <c r="F16" s="82">
        <f>F8*9</f>
        <v>61173750</v>
      </c>
      <c r="G16" s="77">
        <f>SUM(E8+E9+E10+E11+E12+E13+E14+E15+E16)-F16</f>
        <v>123414.89999999851</v>
      </c>
      <c r="H16" s="75">
        <f>2318+1366452.67+5253528.1+3569.54+82933.87+3757984.65+21129+2946+1901.85</f>
        <v>10492763.68</v>
      </c>
      <c r="I16" s="82">
        <f>I8*9</f>
        <v>13908000</v>
      </c>
      <c r="J16" s="77">
        <f>SUM(H8+H9+H10+H11+H12+H13+H14+H15+H16)-I16</f>
        <v>19820527.75</v>
      </c>
      <c r="K16" s="81">
        <v>0</v>
      </c>
      <c r="L16" s="82">
        <f>L8*9</f>
        <v>8351250</v>
      </c>
      <c r="M16" s="77">
        <f>SUM(K8+K9+K10+K11+K12+K13+K14+K15+K16)-L16</f>
        <v>49972.219999998808</v>
      </c>
    </row>
    <row r="17" spans="1:14" x14ac:dyDescent="0.2">
      <c r="A17" s="80" t="s">
        <v>16</v>
      </c>
      <c r="B17" s="81">
        <f>37690266.56+62342048.83</f>
        <v>100032315.39</v>
      </c>
      <c r="C17" s="82">
        <f>C8*10</f>
        <v>960638333.33333325</v>
      </c>
      <c r="D17" s="77">
        <f>SUM(B8+B9+B10+B11+B12+B13+B14+B15+B16+B17)-C17</f>
        <v>7029824.1766667366</v>
      </c>
      <c r="E17" s="75">
        <f>2620197.99+4333970.68</f>
        <v>6954168.6699999999</v>
      </c>
      <c r="F17" s="82">
        <f>F8*10</f>
        <v>67970833.333333328</v>
      </c>
      <c r="G17" s="77">
        <f>SUM(E8+E9+E10+E11+E12+E13+E14+E15+E16+E17)-F17</f>
        <v>280500.23666666448</v>
      </c>
      <c r="H17" s="75">
        <f>2943.6+214.8+3771120.68</f>
        <v>3774279.08</v>
      </c>
      <c r="I17" s="82">
        <f>I8*10</f>
        <v>15453333.333333332</v>
      </c>
      <c r="J17" s="77">
        <f>SUM(H8+H9+H10+H11+H12+H13+H14+H15+H16+H17)-I17</f>
        <v>22049473.496666666</v>
      </c>
      <c r="K17" s="81">
        <f>1870295.01+526431.26</f>
        <v>2396726.27</v>
      </c>
      <c r="L17" s="82">
        <f>L8*10</f>
        <v>9279166.666666666</v>
      </c>
      <c r="M17" s="77">
        <f>SUM(K8+K9+K10+K11+K12+K13+K14+K15+K16+K17)-L17</f>
        <v>1518781.8233333323</v>
      </c>
    </row>
    <row r="18" spans="1:14" x14ac:dyDescent="0.2">
      <c r="A18" s="80" t="s">
        <v>17</v>
      </c>
      <c r="B18" s="81">
        <f>36315745.29+53981545.84</f>
        <v>90297291.129999995</v>
      </c>
      <c r="C18" s="82">
        <f>C8*11</f>
        <v>1056702166.6666666</v>
      </c>
      <c r="D18" s="77">
        <f>SUM(B8+B9+B10+B11+B12+B13+B14+B15+B16+B17+B18)-C18</f>
        <v>1263281.9733333588</v>
      </c>
      <c r="E18" s="75">
        <f>2594161.54+4239389.55</f>
        <v>6833551.0899999999</v>
      </c>
      <c r="F18" s="82">
        <f>F8*11</f>
        <v>74767916.666666657</v>
      </c>
      <c r="G18" s="77">
        <f>SUM(E8+E9+E10+E11+E12+E13+E14+E15+E16+E17+E18)-F18</f>
        <v>316967.99333333969</v>
      </c>
      <c r="H18" s="75">
        <f>1130</f>
        <v>1130</v>
      </c>
      <c r="I18" s="82">
        <f>I8*11</f>
        <v>16998666.666666664</v>
      </c>
      <c r="J18" s="77">
        <f>SUM(H8+H9+H10+H11+H12+H13+H14+H15+H16+H17+H18)-I18</f>
        <v>20505270.163333334</v>
      </c>
      <c r="K18" s="81">
        <v>0</v>
      </c>
      <c r="L18" s="82">
        <f>L8*11</f>
        <v>10207083.333333332</v>
      </c>
      <c r="M18" s="77">
        <f>SUM(K8+K9+K10+K11+K12+K13+K14+K15+K16+K17+K18)-L18</f>
        <v>590865.15666666627</v>
      </c>
    </row>
    <row r="19" spans="1:14" ht="13.5" thickBot="1" x14ac:dyDescent="0.25">
      <c r="A19" s="150" t="s">
        <v>18</v>
      </c>
      <c r="B19" s="140">
        <f>40730932.2+77005064.9</f>
        <v>117735997.10000001</v>
      </c>
      <c r="C19" s="141">
        <f>C8*12</f>
        <v>1152766000</v>
      </c>
      <c r="D19" s="77">
        <f>SUM(B8+B9+B10+B11+B12+B13+B14+B15+B16+B17+B18+B19)-C19</f>
        <v>22935445.74000001</v>
      </c>
      <c r="E19" s="142">
        <f>2831582.71+5421589.85</f>
        <v>8253172.5599999996</v>
      </c>
      <c r="F19" s="141">
        <f>F8*12</f>
        <v>81565000</v>
      </c>
      <c r="G19" s="77">
        <f>SUM(E8+E9+E10+E11+E12+E13+E14+E15+E16+E17+E18+E19)-F19</f>
        <v>1773057.2199999988</v>
      </c>
      <c r="H19" s="142">
        <f>1027.3+16710+11211.01</f>
        <v>28948.309999999998</v>
      </c>
      <c r="I19" s="141">
        <f>I8*12</f>
        <v>18544000</v>
      </c>
      <c r="J19" s="77">
        <f>SUM(H8+H9+H10+H11+H12+H13+H14+H15+H16+H17+H18+H19)-I19</f>
        <v>18988885.140000001</v>
      </c>
      <c r="K19" s="140">
        <v>0</v>
      </c>
      <c r="L19" s="141">
        <f>L8*12</f>
        <v>11135000</v>
      </c>
      <c r="M19" s="77">
        <f>SUM(K8+K9+K10+K11+K12+K13+K14+K15+K16+K17+K18+K19)-L19</f>
        <v>-337051.51000000164</v>
      </c>
    </row>
    <row r="20" spans="1:14" ht="13.5" thickBot="1" x14ac:dyDescent="0.25">
      <c r="A20" s="86" t="s">
        <v>19</v>
      </c>
      <c r="B20" s="129">
        <f>SUM(B8:B19)</f>
        <v>1175701445.74</v>
      </c>
      <c r="C20" s="87">
        <v>1152766000</v>
      </c>
      <c r="D20" s="88"/>
      <c r="E20" s="129">
        <f>SUM(E8:E19)</f>
        <v>83338057.219999999</v>
      </c>
      <c r="F20" s="87">
        <v>81565000</v>
      </c>
      <c r="G20" s="89"/>
      <c r="H20" s="129">
        <f>SUM(H8:H19)</f>
        <v>37532885.140000001</v>
      </c>
      <c r="I20" s="87">
        <v>18544000</v>
      </c>
      <c r="J20" s="89"/>
      <c r="K20" s="129">
        <f>SUM(K8:K19)</f>
        <v>10797948.489999998</v>
      </c>
      <c r="L20" s="87">
        <v>11135000</v>
      </c>
      <c r="M20" s="89"/>
    </row>
    <row r="21" spans="1:14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4" x14ac:dyDescent="0.2">
      <c r="A22" s="71"/>
      <c r="B22" s="73"/>
      <c r="C22" s="73"/>
      <c r="D22" s="90"/>
      <c r="E22" s="90"/>
      <c r="F22" s="73"/>
      <c r="G22" s="73"/>
      <c r="H22" s="71"/>
      <c r="I22" s="73"/>
      <c r="J22" s="91"/>
      <c r="K22" s="71"/>
      <c r="L22" s="73"/>
      <c r="M22" s="71"/>
    </row>
    <row r="23" spans="1:14" ht="13.5" thickBot="1" x14ac:dyDescent="0.25">
      <c r="A23" s="92"/>
      <c r="B23" s="73"/>
      <c r="C23" s="93"/>
      <c r="D23" s="73"/>
      <c r="E23" s="73"/>
      <c r="F23" s="73"/>
      <c r="G23" s="73"/>
      <c r="M23" s="94" t="s">
        <v>26</v>
      </c>
    </row>
    <row r="24" spans="1:14" x14ac:dyDescent="0.2">
      <c r="A24" s="567" t="s">
        <v>2</v>
      </c>
      <c r="B24" s="570" t="s">
        <v>36</v>
      </c>
      <c r="C24" s="571"/>
      <c r="D24" s="572"/>
      <c r="E24" s="576" t="s">
        <v>20</v>
      </c>
      <c r="F24" s="577"/>
      <c r="G24" s="578"/>
      <c r="H24" s="582" t="s">
        <v>21</v>
      </c>
      <c r="I24" s="577"/>
      <c r="J24" s="578"/>
      <c r="K24" s="583" t="s">
        <v>22</v>
      </c>
      <c r="L24" s="577"/>
      <c r="M24" s="578"/>
    </row>
    <row r="25" spans="1:14" ht="13.5" thickBot="1" x14ac:dyDescent="0.25">
      <c r="A25" s="568"/>
      <c r="B25" s="573"/>
      <c r="C25" s="574"/>
      <c r="D25" s="575"/>
      <c r="E25" s="579"/>
      <c r="F25" s="580"/>
      <c r="G25" s="581"/>
      <c r="H25" s="579"/>
      <c r="I25" s="580"/>
      <c r="J25" s="581"/>
      <c r="K25" s="579"/>
      <c r="L25" s="580"/>
      <c r="M25" s="581"/>
    </row>
    <row r="26" spans="1:14" x14ac:dyDescent="0.2">
      <c r="A26" s="568"/>
      <c r="B26" s="584" t="s">
        <v>23</v>
      </c>
      <c r="C26" s="557" t="s">
        <v>31</v>
      </c>
      <c r="D26" s="559" t="s">
        <v>32</v>
      </c>
      <c r="E26" s="563" t="s">
        <v>24</v>
      </c>
      <c r="F26" s="557" t="s">
        <v>31</v>
      </c>
      <c r="G26" s="559" t="s">
        <v>32</v>
      </c>
      <c r="H26" s="563" t="s">
        <v>25</v>
      </c>
      <c r="I26" s="557" t="s">
        <v>31</v>
      </c>
      <c r="J26" s="559" t="s">
        <v>32</v>
      </c>
      <c r="K26" s="566" t="s">
        <v>19</v>
      </c>
      <c r="L26" s="557" t="s">
        <v>31</v>
      </c>
      <c r="M26" s="559" t="s">
        <v>32</v>
      </c>
      <c r="N26" s="553" t="s">
        <v>37</v>
      </c>
    </row>
    <row r="27" spans="1:14" ht="13.5" thickBot="1" x14ac:dyDescent="0.25">
      <c r="A27" s="569"/>
      <c r="B27" s="556"/>
      <c r="C27" s="558"/>
      <c r="D27" s="560"/>
      <c r="E27" s="564"/>
      <c r="F27" s="558"/>
      <c r="G27" s="560"/>
      <c r="H27" s="564"/>
      <c r="I27" s="565"/>
      <c r="J27" s="560"/>
      <c r="K27" s="556"/>
      <c r="L27" s="558"/>
      <c r="M27" s="560"/>
      <c r="N27" s="554"/>
    </row>
    <row r="28" spans="1:14" x14ac:dyDescent="0.2">
      <c r="A28" s="95" t="s">
        <v>7</v>
      </c>
      <c r="B28" s="78">
        <f>5856631.35+4235823.45</f>
        <v>10092454.800000001</v>
      </c>
      <c r="C28" s="76">
        <f>C40/12</f>
        <v>10597750</v>
      </c>
      <c r="D28" s="79">
        <f>B28-C28</f>
        <v>-505295.19999999925</v>
      </c>
      <c r="E28" s="96">
        <f>114429969.87+3203558.08</f>
        <v>117633527.95</v>
      </c>
      <c r="F28" s="76">
        <f>F40/12</f>
        <v>99137500</v>
      </c>
      <c r="G28" s="79">
        <f>E28-F28</f>
        <v>18496027.950000003</v>
      </c>
      <c r="H28" s="97">
        <f>210187412.06+18137711.21</f>
        <v>228325123.27000001</v>
      </c>
      <c r="I28" s="98">
        <f>I40/12</f>
        <v>211514416.66666666</v>
      </c>
      <c r="J28" s="99">
        <f>H28-I28</f>
        <v>16810706.603333354</v>
      </c>
      <c r="K28" s="130">
        <f>SUM($B8+$E8+$H8+$K8+$B28+$E28+$H28)</f>
        <v>492182423.00999999</v>
      </c>
      <c r="L28" s="98">
        <f>L40/12</f>
        <v>426583833.33333331</v>
      </c>
      <c r="M28" s="100">
        <f>K28-L28</f>
        <v>65598589.676666677</v>
      </c>
      <c r="N28" s="101">
        <f>M28/L40</f>
        <v>1.2814712402498978E-2</v>
      </c>
    </row>
    <row r="29" spans="1:14" x14ac:dyDescent="0.2">
      <c r="A29" s="102" t="s">
        <v>8</v>
      </c>
      <c r="B29" s="81">
        <f>16502152.26+3641321.94</f>
        <v>20143474.199999999</v>
      </c>
      <c r="C29" s="82">
        <f>C28*2</f>
        <v>21195500</v>
      </c>
      <c r="D29" s="77">
        <f>SUM(B28+B29)-C29</f>
        <v>9040429</v>
      </c>
      <c r="E29" s="103">
        <f>5600915.29+3748653.69</f>
        <v>9349568.9800000004</v>
      </c>
      <c r="F29" s="82">
        <f>F28*2</f>
        <v>198275000</v>
      </c>
      <c r="G29" s="77">
        <f>SUM(E28+E29)-F29</f>
        <v>-71291903.069999993</v>
      </c>
      <c r="H29" s="104">
        <f>355087429.39+26394278.95</f>
        <v>381481708.33999997</v>
      </c>
      <c r="I29" s="83">
        <f>I28*2</f>
        <v>423028833.33333331</v>
      </c>
      <c r="J29" s="77">
        <f>SUM(H28+H29)-I29</f>
        <v>186777998.2766667</v>
      </c>
      <c r="K29" s="85">
        <f t="shared" ref="K29:K40" si="0">SUM($B9+$E9+$H9+$K9+$B29+$E29+$H29)</f>
        <v>523421764.07999998</v>
      </c>
      <c r="L29" s="83">
        <f>L28*2</f>
        <v>853167666.66666663</v>
      </c>
      <c r="M29" s="77">
        <f>SUM(K28+K29)-L29</f>
        <v>162436520.42333329</v>
      </c>
      <c r="N29" s="105">
        <f>M29/L40</f>
        <v>3.1732043373915421E-2</v>
      </c>
    </row>
    <row r="30" spans="1:14" x14ac:dyDescent="0.2">
      <c r="A30" s="102" t="s">
        <v>9</v>
      </c>
      <c r="B30" s="81">
        <f>4024124.3+3473774.67</f>
        <v>7497898.9699999997</v>
      </c>
      <c r="C30" s="83">
        <f>C28*3</f>
        <v>31793250</v>
      </c>
      <c r="D30" s="77">
        <f>SUM(B28+B29+B30)-C30</f>
        <v>5940577.9699999988</v>
      </c>
      <c r="E30" s="106">
        <f>4746106.99+118986099.23</f>
        <v>123732206.22</v>
      </c>
      <c r="F30" s="83">
        <f>F28*3</f>
        <v>297412500</v>
      </c>
      <c r="G30" s="77">
        <f>SUM(E28+E29+E30)-F30</f>
        <v>-46697196.849999994</v>
      </c>
      <c r="H30" s="104">
        <f>147019723.5+7314442.67</f>
        <v>154334166.16999999</v>
      </c>
      <c r="I30" s="83">
        <f>I28*3</f>
        <v>634543250</v>
      </c>
      <c r="J30" s="77">
        <f>SUM(H28+H29+H30)-I30</f>
        <v>129597747.77999997</v>
      </c>
      <c r="K30" s="84">
        <f t="shared" si="0"/>
        <v>385017270.19</v>
      </c>
      <c r="L30" s="83">
        <f>L28*3</f>
        <v>1279751500</v>
      </c>
      <c r="M30" s="77">
        <f>SUM(K28+K29+K30)-L30</f>
        <v>120869957.27999997</v>
      </c>
      <c r="N30" s="105">
        <f>M30/L40</f>
        <v>2.3611997579217524E-2</v>
      </c>
    </row>
    <row r="31" spans="1:14" x14ac:dyDescent="0.2">
      <c r="A31" s="102" t="s">
        <v>10</v>
      </c>
      <c r="B31" s="81">
        <f>4789113.36+4195929.06</f>
        <v>8985042.4199999999</v>
      </c>
      <c r="C31" s="82">
        <f>C28*4</f>
        <v>42391000</v>
      </c>
      <c r="D31" s="77">
        <f>SUM(B28+B29+B30+B31)-C31</f>
        <v>4327870.3900000006</v>
      </c>
      <c r="E31" s="103">
        <f>138658386.96+10836640.84</f>
        <v>149495027.80000001</v>
      </c>
      <c r="F31" s="82">
        <f>F28*4</f>
        <v>396550000</v>
      </c>
      <c r="G31" s="77">
        <f>SUM(E28+E29+E30+E31)-F31</f>
        <v>3660330.9500000477</v>
      </c>
      <c r="H31" s="107">
        <f>152930799.13+3831554.52</f>
        <v>156762353.65000001</v>
      </c>
      <c r="I31" s="82">
        <f>I28*4</f>
        <v>846057666.66666663</v>
      </c>
      <c r="J31" s="77">
        <f>SUM(H28+H29+H30+H31)-I31</f>
        <v>74845684.763333321</v>
      </c>
      <c r="K31" s="84">
        <f t="shared" si="0"/>
        <v>398444007.71000004</v>
      </c>
      <c r="L31" s="82">
        <f>L28*4</f>
        <v>1706335333.3333333</v>
      </c>
      <c r="M31" s="77">
        <f>SUM(K28+K29+K30+K31)-L31</f>
        <v>92730131.656666756</v>
      </c>
      <c r="N31" s="105">
        <f>M31/L40</f>
        <v>1.8114870671506685E-2</v>
      </c>
    </row>
    <row r="32" spans="1:14" x14ac:dyDescent="0.2">
      <c r="A32" s="102" t="s">
        <v>11</v>
      </c>
      <c r="B32" s="136">
        <f>5488200.21+4334815.19</f>
        <v>9823015.4000000004</v>
      </c>
      <c r="C32" s="82">
        <f>C28*5</f>
        <v>52988750</v>
      </c>
      <c r="D32" s="77">
        <f>SUM(B28+B29+B30+B31+B32)-C32</f>
        <v>3553135.7899999991</v>
      </c>
      <c r="E32" s="106">
        <f>357603.93</f>
        <v>357603.93</v>
      </c>
      <c r="F32" s="82">
        <f>F28*5</f>
        <v>495687500</v>
      </c>
      <c r="G32" s="77">
        <f>SUM(E28+E29+E30+E31+E32)-F32</f>
        <v>-95119565.119999945</v>
      </c>
      <c r="H32" s="139">
        <f>275370058.24</f>
        <v>275370058.24000001</v>
      </c>
      <c r="I32" s="82">
        <f>I28*5</f>
        <v>1057572083.3333333</v>
      </c>
      <c r="J32" s="77">
        <f>SUM(H28+H29+H30+H31+H32)-I32</f>
        <v>138701326.33666682</v>
      </c>
      <c r="K32" s="84">
        <f t="shared" si="0"/>
        <v>373983739.79000002</v>
      </c>
      <c r="L32" s="82">
        <f>L28*5</f>
        <v>2132919166.6666665</v>
      </c>
      <c r="M32" s="77">
        <f>SUM(K28+K29+K30+K31+K32)-L32</f>
        <v>40130038.113333702</v>
      </c>
      <c r="N32" s="105">
        <f>M32/L40</f>
        <v>7.8394200189125986E-3</v>
      </c>
    </row>
    <row r="33" spans="1:14" x14ac:dyDescent="0.2">
      <c r="A33" s="102" t="s">
        <v>12</v>
      </c>
      <c r="B33" s="81">
        <f>5755009.31+4630399.59</f>
        <v>10385408.899999999</v>
      </c>
      <c r="C33" s="82">
        <f>C28*6</f>
        <v>63586500</v>
      </c>
      <c r="D33" s="77">
        <f>SUM(B28+B29+B30+B31+B32+B33)-C33</f>
        <v>3340794.6899999976</v>
      </c>
      <c r="E33" s="103">
        <f>11316461.61+121791396.77</f>
        <v>133107858.38</v>
      </c>
      <c r="F33" s="82">
        <f>F28*6</f>
        <v>594825000</v>
      </c>
      <c r="G33" s="77">
        <f>SUM(E28+E29+E30+E31+E32+E33)-F33</f>
        <v>-61149206.73999995</v>
      </c>
      <c r="H33" s="107">
        <f>152322781.7+429638.68</f>
        <v>152752420.38</v>
      </c>
      <c r="I33" s="82">
        <f>I28*6</f>
        <v>1269086500</v>
      </c>
      <c r="J33" s="77">
        <f>SUM(H28+H29+H30+H31+H32+H33)-I33</f>
        <v>79939330.050000191</v>
      </c>
      <c r="K33" s="84">
        <f t="shared" si="0"/>
        <v>393185680.56</v>
      </c>
      <c r="L33" s="82">
        <f>L28*6</f>
        <v>2559503000</v>
      </c>
      <c r="M33" s="77">
        <f>SUM(K28+K29+K30+K31+K32+K33)-L33</f>
        <v>6731885.3400001526</v>
      </c>
      <c r="N33" s="105">
        <f>M33/L40</f>
        <v>1.3150766652744992E-3</v>
      </c>
    </row>
    <row r="34" spans="1:14" x14ac:dyDescent="0.2">
      <c r="A34" s="102" t="s">
        <v>13</v>
      </c>
      <c r="B34" s="81">
        <f>7411403.76+5800402.32</f>
        <v>13211806.08</v>
      </c>
      <c r="C34" s="82">
        <f>C28*7</f>
        <v>74184250</v>
      </c>
      <c r="D34" s="77">
        <f>SUM(B28+B29+B30+B31+B32+B33+B34)-C34</f>
        <v>5954850.7699999958</v>
      </c>
      <c r="E34" s="106">
        <f>261122485.01+90315102.52</f>
        <v>351437587.52999997</v>
      </c>
      <c r="F34" s="82">
        <f>F28*7</f>
        <v>693962500</v>
      </c>
      <c r="G34" s="77">
        <f>SUM(E28+E29+E30+E31+E32+E33+E34)-F34</f>
        <v>191150880.78999996</v>
      </c>
      <c r="H34" s="107">
        <f>153484765.7+3299826.36</f>
        <v>156784592.06</v>
      </c>
      <c r="I34" s="82">
        <f>I28*7</f>
        <v>1480600916.6666665</v>
      </c>
      <c r="J34" s="77">
        <f>SUM(H28+H29+H30+H31+H32+H33+H34)-I34</f>
        <v>25209505.443333626</v>
      </c>
      <c r="K34" s="84">
        <f t="shared" si="0"/>
        <v>640932705.66999996</v>
      </c>
      <c r="L34" s="82">
        <f>L28*7</f>
        <v>2986086833.333333</v>
      </c>
      <c r="M34" s="77">
        <f>SUM(K28+K29+K30+K31+K32+K33+K34)-L34</f>
        <v>221080757.67666721</v>
      </c>
      <c r="N34" s="105">
        <f>M34/L40</f>
        <v>4.3188220071761436E-2</v>
      </c>
    </row>
    <row r="35" spans="1:14" x14ac:dyDescent="0.2">
      <c r="A35" s="102" t="s">
        <v>14</v>
      </c>
      <c r="B35" s="81">
        <f>8079478.8+5320976.73</f>
        <v>13400455.530000001</v>
      </c>
      <c r="C35" s="82">
        <f>C28*8</f>
        <v>84782000</v>
      </c>
      <c r="D35" s="77">
        <f>SUM(B28+B29+B30+B31+B32+B33+B34+B35)-C35</f>
        <v>8757556.299999997</v>
      </c>
      <c r="E35" s="103">
        <v>0</v>
      </c>
      <c r="F35" s="82">
        <f>F28*8</f>
        <v>793100000</v>
      </c>
      <c r="G35" s="77">
        <f>SUM(E28+E29+E30+E31+E32+E33+E34+E35)-F35</f>
        <v>92013380.789999962</v>
      </c>
      <c r="H35" s="107">
        <f>291227516.76</f>
        <v>291227516.75999999</v>
      </c>
      <c r="I35" s="82">
        <f>I28*8</f>
        <v>1692115333.3333333</v>
      </c>
      <c r="J35" s="77">
        <f>SUM(H28+H29+H30+H31+H32+H33+H34+H35)-I35</f>
        <v>104922605.53666687</v>
      </c>
      <c r="K35" s="84">
        <f t="shared" si="0"/>
        <v>431159547.30000001</v>
      </c>
      <c r="L35" s="82">
        <f>L28*8</f>
        <v>3412670666.6666665</v>
      </c>
      <c r="M35" s="77">
        <f>SUM(K28+K29+K30+K31+K32+K33+K34+K35)-L35</f>
        <v>225656471.64333391</v>
      </c>
      <c r="N35" s="105">
        <f>M35/L40</f>
        <v>4.4082087741904176E-2</v>
      </c>
    </row>
    <row r="36" spans="1:14" x14ac:dyDescent="0.2">
      <c r="A36" s="102" t="s">
        <v>15</v>
      </c>
      <c r="B36" s="81">
        <f>6682657.85+6809813.55</f>
        <v>13492471.399999999</v>
      </c>
      <c r="C36" s="82">
        <f>C28*9</f>
        <v>95379750</v>
      </c>
      <c r="D36" s="77">
        <f>SUM(B28+B29+B30+B31+B32+B33+B34+B35+B36)-C36</f>
        <v>11652277.699999988</v>
      </c>
      <c r="E36" s="106">
        <f>164961538.24</f>
        <v>164961538.24000001</v>
      </c>
      <c r="F36" s="82">
        <f>F28*9</f>
        <v>892237500</v>
      </c>
      <c r="G36" s="77">
        <f>SUM(E28+E29+E30+E31+E32+E33+E34+E35+E36)-F36</f>
        <v>157837419.02999997</v>
      </c>
      <c r="H36" s="107">
        <f>168242530.22</f>
        <v>168242530.22</v>
      </c>
      <c r="I36" s="82">
        <f>I28*9</f>
        <v>1903629750</v>
      </c>
      <c r="J36" s="77">
        <f>SUM(H28+H29+H30+H31+H32+H33+H34+H35+H36)-I36</f>
        <v>61650719.090000153</v>
      </c>
      <c r="K36" s="84">
        <f t="shared" si="0"/>
        <v>455123034.5</v>
      </c>
      <c r="L36" s="82">
        <f>L28*9</f>
        <v>3839254500</v>
      </c>
      <c r="M36" s="77">
        <f>SUM(K28+K29+K30+K31+K32+K33+K34+K35+K36)-L36</f>
        <v>254195672.81000042</v>
      </c>
      <c r="N36" s="105">
        <f>M36/L40</f>
        <v>4.9657232831920965E-2</v>
      </c>
    </row>
    <row r="37" spans="1:14" x14ac:dyDescent="0.2">
      <c r="A37" s="102" t="s">
        <v>16</v>
      </c>
      <c r="B37" s="81">
        <f>7060245.11+4747052.72</f>
        <v>11807297.83</v>
      </c>
      <c r="C37" s="82">
        <f>C28*10</f>
        <v>105977500</v>
      </c>
      <c r="D37" s="77">
        <f>SUM(B28+B29+B30+B31+B32+B33+B34+B35+B36+B37)-C37</f>
        <v>12861825.529999986</v>
      </c>
      <c r="E37" s="103">
        <f>41939963.75+2769570.56</f>
        <v>44709534.310000002</v>
      </c>
      <c r="F37" s="82">
        <f>F28*10</f>
        <v>991375000</v>
      </c>
      <c r="G37" s="77">
        <f>SUM(E28+E29+E30+E31+E32+E33+E34+E35+E36+E37)-F37</f>
        <v>103409453.33999991</v>
      </c>
      <c r="H37" s="107">
        <f>156996493.89+13862327.53</f>
        <v>170858821.41999999</v>
      </c>
      <c r="I37" s="82">
        <f>I28*10</f>
        <v>2115144166.6666665</v>
      </c>
      <c r="J37" s="77">
        <f>SUM(H28+H29+H30+H31+H32+H33+H34+H35+H36+H37)-I37</f>
        <v>20995123.843333721</v>
      </c>
      <c r="K37" s="84">
        <f t="shared" si="0"/>
        <v>340533142.97000003</v>
      </c>
      <c r="L37" s="82">
        <f>L28*10</f>
        <v>4265838333.333333</v>
      </c>
      <c r="M37" s="77">
        <f>SUM(K28+K29+K30+K31+K32+K33+K34+K35+K36+K37)-L37</f>
        <v>168144982.44666767</v>
      </c>
      <c r="N37" s="105">
        <f>M37/L40</f>
        <v>3.2847193858860035E-2</v>
      </c>
    </row>
    <row r="38" spans="1:14" x14ac:dyDescent="0.2">
      <c r="A38" s="102" t="s">
        <v>17</v>
      </c>
      <c r="B38" s="81">
        <f>5277939.9+4389266.69</f>
        <v>9667206.5899999999</v>
      </c>
      <c r="C38" s="82">
        <f>C28*11</f>
        <v>116575250</v>
      </c>
      <c r="D38" s="77">
        <f>SUM(B28+B29+B30+B31+B32+B33+B34+B35+B36+B37+B38)-C38</f>
        <v>11931282.11999999</v>
      </c>
      <c r="E38" s="103">
        <f>6992869.72+3104897.49</f>
        <v>10097767.210000001</v>
      </c>
      <c r="F38" s="82">
        <f>F28*11</f>
        <v>1090512500</v>
      </c>
      <c r="G38" s="77">
        <f>SUM(E28+E29+E30+E31+E32+E33+E34+E35+E36+E37+E38)-F38</f>
        <v>14369720.549999952</v>
      </c>
      <c r="H38" s="107">
        <f>325541193.53</f>
        <v>325541193.52999997</v>
      </c>
      <c r="I38" s="82">
        <f>I28*11</f>
        <v>2326658583.333333</v>
      </c>
      <c r="J38" s="77">
        <f>SUM(H28+H29+H30+H31+H32+H33+H34+H35+H36+H37+H38)-I38</f>
        <v>135021900.70666695</v>
      </c>
      <c r="K38" s="84">
        <f t="shared" si="0"/>
        <v>442438139.54999995</v>
      </c>
      <c r="L38" s="82">
        <f>L28*11</f>
        <v>4692422166.666666</v>
      </c>
      <c r="M38" s="77">
        <f>SUM(K28+K29+K30+K31+K32+K33+K34+K35+K36+K37+K38)-L38</f>
        <v>183999288.66333485</v>
      </c>
      <c r="N38" s="105">
        <f>M38/L40</f>
        <v>3.5944339323559074E-2</v>
      </c>
    </row>
    <row r="39" spans="1:14" ht="13.5" thickBot="1" x14ac:dyDescent="0.25">
      <c r="A39" s="149" t="s">
        <v>18</v>
      </c>
      <c r="B39" s="143">
        <f>4392763.45+5591571.14</f>
        <v>9984334.5899999999</v>
      </c>
      <c r="C39" s="141">
        <f>C28*12</f>
        <v>127173000</v>
      </c>
      <c r="D39" s="77">
        <f>SUM(B28+B29+B30+B31+B32+B33+B34+B35+B36+B37+B38+B39)-C39</f>
        <v>11317866.709999979</v>
      </c>
      <c r="E39" s="144">
        <f>3914943.29+212139668.09</f>
        <v>216054611.38</v>
      </c>
      <c r="F39" s="141">
        <f>F28*12</f>
        <v>1189650000</v>
      </c>
      <c r="G39" s="145">
        <f>SUM(E28+E29+E30+E31+E32+E33+E34+E35+E36+E37+E38+E39)-F39</f>
        <v>131286831.92999983</v>
      </c>
      <c r="H39" s="146">
        <f>205961080.28</f>
        <v>205961080.28</v>
      </c>
      <c r="I39" s="141">
        <f>I28*12</f>
        <v>2538173000</v>
      </c>
      <c r="J39" s="77">
        <f>SUM(H28+H29+H30+H31+H32+H33+H34+H35+H36+H37+H38+H39)-I39</f>
        <v>129468564.32000017</v>
      </c>
      <c r="K39" s="131">
        <f t="shared" si="0"/>
        <v>558018144.22000003</v>
      </c>
      <c r="L39" s="147">
        <f>L28*12</f>
        <v>5119006000</v>
      </c>
      <c r="M39" s="148">
        <f>SUM(K28+K29+K30+K31+K32+K33+K34+K35+K36+K37+K38+K39)-L39</f>
        <v>315433599.55000114</v>
      </c>
      <c r="N39" s="105">
        <f>M39/L40</f>
        <v>6.1620087874482109E-2</v>
      </c>
    </row>
    <row r="40" spans="1:14" ht="13.5" thickBot="1" x14ac:dyDescent="0.25">
      <c r="A40" s="86" t="s">
        <v>19</v>
      </c>
      <c r="B40" s="129">
        <f>SUM(B28:B39)</f>
        <v>138490866.70999998</v>
      </c>
      <c r="C40" s="87">
        <v>127173000</v>
      </c>
      <c r="D40" s="89"/>
      <c r="E40" s="133">
        <f>SUM(E28:E39)</f>
        <v>1320936831.9299998</v>
      </c>
      <c r="F40" s="108">
        <v>1189650000</v>
      </c>
      <c r="G40" s="109"/>
      <c r="H40" s="129">
        <f>SUM(H28:H39)</f>
        <v>2667641564.3200002</v>
      </c>
      <c r="I40" s="87">
        <v>2538173000</v>
      </c>
      <c r="J40" s="110"/>
      <c r="K40" s="132">
        <f t="shared" si="0"/>
        <v>5434439599.5500002</v>
      </c>
      <c r="L40" s="111">
        <f>SUM(F20+I20+L20+O20+F40+I40+C20+C40)</f>
        <v>5119006000</v>
      </c>
      <c r="M40" s="112"/>
      <c r="N40" s="113"/>
    </row>
    <row r="41" spans="1:14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4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4" x14ac:dyDescent="0.2">
      <c r="K43" s="114"/>
      <c r="L43" s="115"/>
    </row>
    <row r="44" spans="1:14" x14ac:dyDescent="0.2">
      <c r="K44" s="114"/>
    </row>
    <row r="45" spans="1:14" x14ac:dyDescent="0.2">
      <c r="K45" s="114"/>
    </row>
    <row r="46" spans="1:14" x14ac:dyDescent="0.2">
      <c r="K46" s="114"/>
    </row>
    <row r="48" spans="1:14" x14ac:dyDescent="0.2">
      <c r="K48" s="116"/>
    </row>
  </sheetData>
  <mergeCells count="38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B24:D25"/>
    <mergeCell ref="E24:G25"/>
    <mergeCell ref="H24:J25"/>
    <mergeCell ref="K24:M25"/>
    <mergeCell ref="B26:B27"/>
    <mergeCell ref="C26:C27"/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7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1" tint="0.14999847407452621"/>
  </sheetPr>
  <dimension ref="A1:S49"/>
  <sheetViews>
    <sheetView showGridLines="0" zoomScaleNormal="100" workbookViewId="0">
      <selection activeCell="B50" sqref="B5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52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20.25" x14ac:dyDescent="0.3">
      <c r="B2" s="587" t="s">
        <v>57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92"/>
      <c r="P2" s="592"/>
      <c r="Q2" s="592"/>
      <c r="R2" s="592"/>
      <c r="S2" s="592"/>
    </row>
    <row r="3" spans="1:19" ht="12.75" customHeight="1" x14ac:dyDescent="0.25">
      <c r="A3" s="59"/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53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  <row r="49" spans="2:19" ht="20.25" x14ac:dyDescent="0.3">
      <c r="B49" s="587" t="s">
        <v>57</v>
      </c>
      <c r="C49" s="586"/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92"/>
      <c r="P49" s="592"/>
      <c r="Q49" s="592"/>
      <c r="R49" s="592"/>
      <c r="S49" s="592"/>
    </row>
  </sheetData>
  <mergeCells count="4">
    <mergeCell ref="B1:S1"/>
    <mergeCell ref="B2:S2"/>
    <mergeCell ref="B48:S48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1" tint="0.14999847407452621"/>
    <pageSetUpPr fitToPage="1"/>
  </sheetPr>
  <dimension ref="A1:N48"/>
  <sheetViews>
    <sheetView showGridLines="0" topLeftCell="A3" zoomScale="120" zoomScaleNormal="120" workbookViewId="0">
      <selection activeCell="K40" sqref="K40"/>
    </sheetView>
  </sheetViews>
  <sheetFormatPr defaultColWidth="9.140625" defaultRowHeight="12.75" x14ac:dyDescent="0.2"/>
  <cols>
    <col min="1" max="1" width="8.7109375" style="66" customWidth="1"/>
    <col min="2" max="7" width="12.5703125" style="66" customWidth="1"/>
    <col min="8" max="8" width="13.5703125" style="66" bestFit="1" customWidth="1"/>
    <col min="9" max="10" width="12.5703125" style="66" customWidth="1"/>
    <col min="11" max="11" width="13.5703125" style="66" bestFit="1" customWidth="1"/>
    <col min="12" max="13" width="12.570312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85" t="s">
        <v>54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20.25" x14ac:dyDescent="0.3">
      <c r="A2" s="587" t="s">
        <v>57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</row>
    <row r="3" spans="1:14" ht="13.5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x14ac:dyDescent="0.2">
      <c r="A4" s="567" t="s">
        <v>2</v>
      </c>
      <c r="B4" s="588" t="s">
        <v>27</v>
      </c>
      <c r="C4" s="571"/>
      <c r="D4" s="572"/>
      <c r="E4" s="589" t="s">
        <v>28</v>
      </c>
      <c r="F4" s="571"/>
      <c r="G4" s="572"/>
      <c r="H4" s="590" t="s">
        <v>29</v>
      </c>
      <c r="I4" s="571"/>
      <c r="J4" s="572"/>
      <c r="K4" s="591" t="s">
        <v>30</v>
      </c>
      <c r="L4" s="571"/>
      <c r="M4" s="572"/>
      <c r="N4" s="73"/>
    </row>
    <row r="5" spans="1:14" ht="13.5" thickBot="1" x14ac:dyDescent="0.25">
      <c r="A5" s="568"/>
      <c r="B5" s="573"/>
      <c r="C5" s="574"/>
      <c r="D5" s="575"/>
      <c r="E5" s="573"/>
      <c r="F5" s="574"/>
      <c r="G5" s="575"/>
      <c r="H5" s="573"/>
      <c r="I5" s="574"/>
      <c r="J5" s="575"/>
      <c r="K5" s="573"/>
      <c r="L5" s="574"/>
      <c r="M5" s="575"/>
      <c r="N5" s="71"/>
    </row>
    <row r="6" spans="1:14" x14ac:dyDescent="0.2">
      <c r="A6" s="568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55" t="s">
        <v>5</v>
      </c>
      <c r="I6" s="557" t="s">
        <v>31</v>
      </c>
      <c r="J6" s="559" t="s">
        <v>32</v>
      </c>
      <c r="K6" s="584" t="s">
        <v>6</v>
      </c>
      <c r="L6" s="557" t="s">
        <v>31</v>
      </c>
      <c r="M6" s="559" t="s">
        <v>32</v>
      </c>
    </row>
    <row r="7" spans="1:14" ht="13.5" thickBot="1" x14ac:dyDescent="0.25">
      <c r="A7" s="569"/>
      <c r="B7" s="556"/>
      <c r="C7" s="558"/>
      <c r="D7" s="560"/>
      <c r="E7" s="556"/>
      <c r="F7" s="558"/>
      <c r="G7" s="560"/>
      <c r="H7" s="556"/>
      <c r="I7" s="558"/>
      <c r="J7" s="560"/>
      <c r="K7" s="556"/>
      <c r="L7" s="558"/>
      <c r="M7" s="560"/>
    </row>
    <row r="8" spans="1:14" x14ac:dyDescent="0.2">
      <c r="A8" s="74" t="s">
        <v>7</v>
      </c>
      <c r="B8" s="75">
        <f>49562586.77+70062348.81</f>
        <v>119624935.58000001</v>
      </c>
      <c r="C8" s="76">
        <f>C20/12</f>
        <v>96063833.333333328</v>
      </c>
      <c r="D8" s="77">
        <f>B8-C8</f>
        <v>23561102.246666685</v>
      </c>
      <c r="E8" s="78">
        <f>3452080.3+4879907.77</f>
        <v>8331988.0699999994</v>
      </c>
      <c r="F8" s="76">
        <f>F20/12</f>
        <v>6797083.333333333</v>
      </c>
      <c r="G8" s="77">
        <f>E8-F8</f>
        <v>1534904.7366666663</v>
      </c>
      <c r="H8" s="78">
        <f>3551236.35+6159.6+3723</f>
        <v>3561118.95</v>
      </c>
      <c r="I8" s="76">
        <f>I20/12</f>
        <v>1545333.3333333333</v>
      </c>
      <c r="J8" s="79">
        <f>H8-I8</f>
        <v>2015785.6166666669</v>
      </c>
      <c r="K8" s="78">
        <f>4108675.36+504599.03</f>
        <v>4613274.3899999997</v>
      </c>
      <c r="L8" s="76">
        <f>L20/12</f>
        <v>927916.66666666663</v>
      </c>
      <c r="M8" s="79">
        <f>K8-L8</f>
        <v>3685357.7233333332</v>
      </c>
    </row>
    <row r="9" spans="1:14" x14ac:dyDescent="0.2">
      <c r="A9" s="80" t="s">
        <v>8</v>
      </c>
      <c r="B9" s="81">
        <f>45980362.99+57892164.79+B8</f>
        <v>223497463.36000001</v>
      </c>
      <c r="C9" s="82">
        <f>C8*2</f>
        <v>192127666.66666666</v>
      </c>
      <c r="D9" s="77">
        <f>B9-C9</f>
        <v>31369796.693333358</v>
      </c>
      <c r="E9" s="75">
        <f>3202575.05+4032243.12+E8</f>
        <v>15566806.239999998</v>
      </c>
      <c r="F9" s="82">
        <f>F8*2</f>
        <v>13594166.666666666</v>
      </c>
      <c r="G9" s="77">
        <f>E9-F9</f>
        <v>1972639.5733333323</v>
      </c>
      <c r="H9" s="75">
        <f>55.37+H8</f>
        <v>3561174.3200000003</v>
      </c>
      <c r="I9" s="82">
        <f>I8*2</f>
        <v>3090666.6666666665</v>
      </c>
      <c r="J9" s="77">
        <f>H9-I9</f>
        <v>470507.65333333379</v>
      </c>
      <c r="K9" s="81">
        <f>658528.83+681082.41+K8</f>
        <v>5952885.6299999999</v>
      </c>
      <c r="L9" s="82">
        <f>L8*2</f>
        <v>1855833.3333333333</v>
      </c>
      <c r="M9" s="77">
        <f>K9-L9</f>
        <v>4097052.2966666669</v>
      </c>
    </row>
    <row r="10" spans="1:14" x14ac:dyDescent="0.2">
      <c r="A10" s="80" t="s">
        <v>9</v>
      </c>
      <c r="B10" s="81">
        <f>40281091.34+44988063.15+B9</f>
        <v>308766617.85000002</v>
      </c>
      <c r="C10" s="82">
        <f>C8*3</f>
        <v>288191500</v>
      </c>
      <c r="D10" s="77">
        <f t="shared" ref="D10:D19" si="0">B10-C10</f>
        <v>20575117.850000024</v>
      </c>
      <c r="E10" s="75">
        <f>2805615.48+3133460.4+E9</f>
        <v>21505882.119999997</v>
      </c>
      <c r="F10" s="83">
        <f>F8*3</f>
        <v>20391250</v>
      </c>
      <c r="G10" s="77">
        <f t="shared" ref="G10:G19" si="1">E10-F10</f>
        <v>1114632.1199999973</v>
      </c>
      <c r="H10" s="75">
        <f>5791893.47+4538.4+H9</f>
        <v>9357606.1900000013</v>
      </c>
      <c r="I10" s="83">
        <f>I8*3</f>
        <v>4636000</v>
      </c>
      <c r="J10" s="77">
        <f t="shared" ref="J10:J19" si="2">H10-I10</f>
        <v>4721606.1900000013</v>
      </c>
      <c r="K10" s="81">
        <f>1591998+856338.59+K9</f>
        <v>8401222.2199999988</v>
      </c>
      <c r="L10" s="83">
        <f>L8*3</f>
        <v>2783750</v>
      </c>
      <c r="M10" s="77">
        <f t="shared" ref="M10:M19" si="3">K10-L10</f>
        <v>5617472.2199999988</v>
      </c>
    </row>
    <row r="11" spans="1:14" x14ac:dyDescent="0.2">
      <c r="A11" s="80" t="s">
        <v>10</v>
      </c>
      <c r="B11" s="81">
        <f>31150989.8+46632875.46+B10</f>
        <v>386550483.11000001</v>
      </c>
      <c r="C11" s="82">
        <f>C8*4</f>
        <v>384255333.33333331</v>
      </c>
      <c r="D11" s="77">
        <f t="shared" si="0"/>
        <v>2295149.7766667008</v>
      </c>
      <c r="E11" s="75">
        <f>2169695.45+3248023.13+E10</f>
        <v>26923600.699999996</v>
      </c>
      <c r="F11" s="82">
        <f>F8*4</f>
        <v>27188333.333333332</v>
      </c>
      <c r="G11" s="77">
        <f t="shared" si="1"/>
        <v>-264732.63333333656</v>
      </c>
      <c r="H11" s="75">
        <f t="shared" ref="H11" si="4">0+H10</f>
        <v>9357606.1900000013</v>
      </c>
      <c r="I11" s="82">
        <f>I8*4</f>
        <v>6181333.333333333</v>
      </c>
      <c r="J11" s="77">
        <f t="shared" si="2"/>
        <v>3176272.8566666683</v>
      </c>
      <c r="K11" s="81">
        <f t="shared" ref="K11:K18" si="5">0+K10</f>
        <v>8401222.2199999988</v>
      </c>
      <c r="L11" s="82">
        <f>L8*4</f>
        <v>3711666.6666666665</v>
      </c>
      <c r="M11" s="77">
        <f t="shared" si="3"/>
        <v>4689555.5533333328</v>
      </c>
    </row>
    <row r="12" spans="1:14" x14ac:dyDescent="0.2">
      <c r="A12" s="80" t="s">
        <v>11</v>
      </c>
      <c r="B12" s="81">
        <f>26079295.73+56138648.67+B11</f>
        <v>468768427.50999999</v>
      </c>
      <c r="C12" s="82">
        <f>C8*5</f>
        <v>480319166.66666663</v>
      </c>
      <c r="D12" s="77">
        <f t="shared" si="0"/>
        <v>-11550739.156666636</v>
      </c>
      <c r="E12" s="75">
        <f>1816447.22+4397665.6+E11</f>
        <v>33137713.519999996</v>
      </c>
      <c r="F12" s="82">
        <f>F8*5</f>
        <v>33985416.666666664</v>
      </c>
      <c r="G12" s="77">
        <f t="shared" si="1"/>
        <v>-847703.14666666836</v>
      </c>
      <c r="H12" s="75">
        <f>1005+H11</f>
        <v>9358611.1900000013</v>
      </c>
      <c r="I12" s="82">
        <f>I8*5</f>
        <v>7726666.666666666</v>
      </c>
      <c r="J12" s="77">
        <f t="shared" si="2"/>
        <v>1631944.5233333353</v>
      </c>
      <c r="K12" s="81">
        <f t="shared" si="5"/>
        <v>8401222.2199999988</v>
      </c>
      <c r="L12" s="82">
        <f>L8*5</f>
        <v>4639583.333333333</v>
      </c>
      <c r="M12" s="77">
        <f t="shared" si="3"/>
        <v>3761638.8866666658</v>
      </c>
    </row>
    <row r="13" spans="1:14" x14ac:dyDescent="0.2">
      <c r="A13" s="80" t="s">
        <v>12</v>
      </c>
      <c r="B13" s="81">
        <f>36917730.77+53209282.62+B12</f>
        <v>558895440.89999998</v>
      </c>
      <c r="C13" s="82">
        <f>C8*6</f>
        <v>576383000</v>
      </c>
      <c r="D13" s="77">
        <f t="shared" si="0"/>
        <v>-17487559.100000024</v>
      </c>
      <c r="E13" s="75">
        <f>2571354.27+4193632.54+E12</f>
        <v>39902700.329999998</v>
      </c>
      <c r="F13" s="82">
        <f>F8*6</f>
        <v>40782500</v>
      </c>
      <c r="G13" s="77">
        <f t="shared" si="1"/>
        <v>-879799.67000000179</v>
      </c>
      <c r="H13" s="75">
        <f>8042+39950.7+H12</f>
        <v>9406603.8900000006</v>
      </c>
      <c r="I13" s="82">
        <f>I8*6</f>
        <v>9272000</v>
      </c>
      <c r="J13" s="77">
        <f t="shared" si="2"/>
        <v>134603.8900000006</v>
      </c>
      <c r="K13" s="81">
        <f t="shared" si="5"/>
        <v>8401222.2199999988</v>
      </c>
      <c r="L13" s="82">
        <f>L8*6</f>
        <v>5567500</v>
      </c>
      <c r="M13" s="77">
        <f t="shared" si="3"/>
        <v>2833722.2199999988</v>
      </c>
    </row>
    <row r="14" spans="1:14" x14ac:dyDescent="0.2">
      <c r="A14" s="80" t="s">
        <v>13</v>
      </c>
      <c r="B14" s="81">
        <f>45234631.71+66414766.27+B13</f>
        <v>670544838.88</v>
      </c>
      <c r="C14" s="82">
        <f>C8*7</f>
        <v>672446833.33333325</v>
      </c>
      <c r="D14" s="77">
        <f t="shared" si="0"/>
        <v>-1901994.4533332586</v>
      </c>
      <c r="E14" s="75">
        <f>3150634.19+4625850.23+E13</f>
        <v>47679184.75</v>
      </c>
      <c r="F14" s="82">
        <f>F8*7</f>
        <v>47579583.333333328</v>
      </c>
      <c r="G14" s="77">
        <f t="shared" si="1"/>
        <v>99601.416666671634</v>
      </c>
      <c r="H14" s="75">
        <f>3174+69663.6+H13</f>
        <v>9479441.4900000002</v>
      </c>
      <c r="I14" s="82">
        <f>I8*7</f>
        <v>10817333.333333332</v>
      </c>
      <c r="J14" s="77">
        <f t="shared" si="2"/>
        <v>-1337891.8433333319</v>
      </c>
      <c r="K14" s="81">
        <f t="shared" si="5"/>
        <v>8401222.2199999988</v>
      </c>
      <c r="L14" s="82">
        <f>L8*7</f>
        <v>6495416.666666666</v>
      </c>
      <c r="M14" s="77">
        <f t="shared" si="3"/>
        <v>1905805.5533333328</v>
      </c>
    </row>
    <row r="15" spans="1:14" x14ac:dyDescent="0.2">
      <c r="A15" s="80" t="s">
        <v>14</v>
      </c>
      <c r="B15" s="81">
        <f>38336123.95+67095703.63+B14</f>
        <v>775976666.46000004</v>
      </c>
      <c r="C15" s="82">
        <f>C8*8</f>
        <v>768510666.66666663</v>
      </c>
      <c r="D15" s="77">
        <f t="shared" si="0"/>
        <v>7465999.7933334112</v>
      </c>
      <c r="E15" s="75">
        <f>2670146.68+4673278.17+E14</f>
        <v>55022609.600000001</v>
      </c>
      <c r="F15" s="82">
        <f>F8*8</f>
        <v>54376666.666666664</v>
      </c>
      <c r="G15" s="77">
        <f t="shared" si="1"/>
        <v>645942.93333333731</v>
      </c>
      <c r="H15" s="75">
        <f>6391.2+8429841.8+5320089.58+H14</f>
        <v>23235764.07</v>
      </c>
      <c r="I15" s="82">
        <f>I8*8</f>
        <v>12362666.666666666</v>
      </c>
      <c r="J15" s="77">
        <f t="shared" si="2"/>
        <v>10873097.403333334</v>
      </c>
      <c r="K15" s="81">
        <f t="shared" si="5"/>
        <v>8401222.2199999988</v>
      </c>
      <c r="L15" s="82">
        <f>L8*8</f>
        <v>7423333.333333333</v>
      </c>
      <c r="M15" s="77">
        <f t="shared" si="3"/>
        <v>977888.88666666579</v>
      </c>
    </row>
    <row r="16" spans="1:14" x14ac:dyDescent="0.2">
      <c r="A16" s="80" t="s">
        <v>15</v>
      </c>
      <c r="B16" s="81">
        <f>38089770.34+53569405.32+B15</f>
        <v>867635842.12</v>
      </c>
      <c r="C16" s="82">
        <f>C8*9</f>
        <v>864574500</v>
      </c>
      <c r="D16" s="77">
        <f t="shared" si="0"/>
        <v>3061342.1200000048</v>
      </c>
      <c r="E16" s="75">
        <f>2652987.92+3621567.38+E15</f>
        <v>61297164.899999999</v>
      </c>
      <c r="F16" s="82">
        <f>F8*9</f>
        <v>61173750</v>
      </c>
      <c r="G16" s="77">
        <f t="shared" si="1"/>
        <v>123414.89999999851</v>
      </c>
      <c r="H16" s="75">
        <f>2318+1366452.67+5253528.1+3569.54+82933.87+3757984.65+21129+2946+1901.85+H15</f>
        <v>33728527.75</v>
      </c>
      <c r="I16" s="82">
        <f>I8*9</f>
        <v>13908000</v>
      </c>
      <c r="J16" s="77">
        <f t="shared" si="2"/>
        <v>19820527.75</v>
      </c>
      <c r="K16" s="81">
        <f t="shared" si="5"/>
        <v>8401222.2199999988</v>
      </c>
      <c r="L16" s="82">
        <f>L8*9</f>
        <v>8351250</v>
      </c>
      <c r="M16" s="77">
        <f t="shared" si="3"/>
        <v>49972.219999998808</v>
      </c>
    </row>
    <row r="17" spans="1:14" x14ac:dyDescent="0.2">
      <c r="A17" s="80" t="s">
        <v>16</v>
      </c>
      <c r="B17" s="81">
        <f>37690266.56+62342048.83+B16</f>
        <v>967668157.50999999</v>
      </c>
      <c r="C17" s="82">
        <f>C8*10</f>
        <v>960638333.33333325</v>
      </c>
      <c r="D17" s="77">
        <f t="shared" si="0"/>
        <v>7029824.1766667366</v>
      </c>
      <c r="E17" s="75">
        <f>2620197.99+4333970.68+E16</f>
        <v>68251333.569999993</v>
      </c>
      <c r="F17" s="82">
        <f>F8*10</f>
        <v>67970833.333333328</v>
      </c>
      <c r="G17" s="77">
        <f t="shared" si="1"/>
        <v>280500.23666666448</v>
      </c>
      <c r="H17" s="75">
        <f>2943.6+3771120.68+214.8+H16</f>
        <v>37502806.829999998</v>
      </c>
      <c r="I17" s="82">
        <f>I8*10</f>
        <v>15453333.333333332</v>
      </c>
      <c r="J17" s="77">
        <f t="shared" si="2"/>
        <v>22049473.496666666</v>
      </c>
      <c r="K17" s="81">
        <f>1870295.01+526431.26+K16</f>
        <v>10797948.489999998</v>
      </c>
      <c r="L17" s="82">
        <f>L8*10</f>
        <v>9279166.666666666</v>
      </c>
      <c r="M17" s="77">
        <f t="shared" si="3"/>
        <v>1518781.8233333323</v>
      </c>
    </row>
    <row r="18" spans="1:14" x14ac:dyDescent="0.2">
      <c r="A18" s="80" t="s">
        <v>17</v>
      </c>
      <c r="B18" s="81">
        <f>36315745.29+53981545.84+B17</f>
        <v>1057965448.64</v>
      </c>
      <c r="C18" s="82">
        <f>C8*11</f>
        <v>1056702166.6666666</v>
      </c>
      <c r="D18" s="77">
        <f t="shared" si="0"/>
        <v>1263281.9733333588</v>
      </c>
      <c r="E18" s="75">
        <f>2594161.54+4239389.55+E17</f>
        <v>75084884.659999996</v>
      </c>
      <c r="F18" s="82">
        <f>F8*11</f>
        <v>74767916.666666657</v>
      </c>
      <c r="G18" s="77">
        <f t="shared" si="1"/>
        <v>316967.99333333969</v>
      </c>
      <c r="H18" s="75">
        <f>1130+H17</f>
        <v>37503936.829999998</v>
      </c>
      <c r="I18" s="82">
        <f>I8*11</f>
        <v>16998666.666666664</v>
      </c>
      <c r="J18" s="77">
        <f t="shared" si="2"/>
        <v>20505270.163333334</v>
      </c>
      <c r="K18" s="81">
        <f t="shared" si="5"/>
        <v>10797948.489999998</v>
      </c>
      <c r="L18" s="82">
        <f>L8*11</f>
        <v>10207083.333333332</v>
      </c>
      <c r="M18" s="77">
        <f t="shared" si="3"/>
        <v>590865.15666666627</v>
      </c>
    </row>
    <row r="19" spans="1:14" ht="13.5" thickBot="1" x14ac:dyDescent="0.25">
      <c r="A19" s="150" t="s">
        <v>18</v>
      </c>
      <c r="B19" s="140">
        <f>40730932.2+77005064.9+B18</f>
        <v>1175701445.74</v>
      </c>
      <c r="C19" s="141">
        <f>C8*12</f>
        <v>1152766000</v>
      </c>
      <c r="D19" s="77">
        <f t="shared" si="0"/>
        <v>22935445.74000001</v>
      </c>
      <c r="E19" s="142">
        <f>2831582.71+5421589.85+E18</f>
        <v>83338057.219999999</v>
      </c>
      <c r="F19" s="141">
        <f>F8*12</f>
        <v>81565000</v>
      </c>
      <c r="G19" s="77">
        <f t="shared" si="1"/>
        <v>1773057.2199999988</v>
      </c>
      <c r="H19" s="142">
        <f>1027.3+16710+11211.01+H18</f>
        <v>37532885.140000001</v>
      </c>
      <c r="I19" s="141">
        <f>I8*12</f>
        <v>18544000</v>
      </c>
      <c r="J19" s="77">
        <f t="shared" si="2"/>
        <v>18988885.140000001</v>
      </c>
      <c r="K19" s="140">
        <f>0+K18</f>
        <v>10797948.489999998</v>
      </c>
      <c r="L19" s="141">
        <f>L8*12</f>
        <v>11135000</v>
      </c>
      <c r="M19" s="77">
        <f t="shared" si="3"/>
        <v>-337051.51000000164</v>
      </c>
    </row>
    <row r="20" spans="1:14" ht="13.5" thickBot="1" x14ac:dyDescent="0.25">
      <c r="A20" s="86" t="s">
        <v>19</v>
      </c>
      <c r="B20" s="129">
        <f>B19</f>
        <v>1175701445.74</v>
      </c>
      <c r="C20" s="87">
        <v>1152766000</v>
      </c>
      <c r="D20" s="88"/>
      <c r="E20" s="129">
        <f>E19</f>
        <v>83338057.219999999</v>
      </c>
      <c r="F20" s="87">
        <v>81565000</v>
      </c>
      <c r="G20" s="89"/>
      <c r="H20" s="129">
        <f>H19</f>
        <v>37532885.140000001</v>
      </c>
      <c r="I20" s="87">
        <v>18544000</v>
      </c>
      <c r="J20" s="89"/>
      <c r="K20" s="129">
        <f>K19</f>
        <v>10797948.489999998</v>
      </c>
      <c r="L20" s="87">
        <v>11135000</v>
      </c>
      <c r="M20" s="89"/>
    </row>
    <row r="21" spans="1:14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4" x14ac:dyDescent="0.2">
      <c r="A22" s="71"/>
      <c r="B22" s="73"/>
      <c r="C22" s="73"/>
      <c r="D22" s="73"/>
      <c r="E22" s="90"/>
      <c r="F22" s="73"/>
      <c r="G22" s="73"/>
      <c r="H22" s="71"/>
      <c r="I22" s="73"/>
      <c r="J22" s="91"/>
      <c r="K22" s="71"/>
      <c r="L22" s="73"/>
      <c r="M22" s="71"/>
    </row>
    <row r="23" spans="1:14" ht="13.5" thickBot="1" x14ac:dyDescent="0.25">
      <c r="A23" s="92"/>
      <c r="B23" s="73"/>
      <c r="C23" s="93"/>
      <c r="D23" s="73"/>
      <c r="E23" s="73"/>
      <c r="F23" s="73"/>
      <c r="G23" s="73"/>
      <c r="M23" s="135" t="s">
        <v>26</v>
      </c>
    </row>
    <row r="24" spans="1:14" x14ac:dyDescent="0.2">
      <c r="A24" s="567" t="s">
        <v>2</v>
      </c>
      <c r="B24" s="570" t="s">
        <v>36</v>
      </c>
      <c r="C24" s="571"/>
      <c r="D24" s="572"/>
      <c r="E24" s="576" t="s">
        <v>20</v>
      </c>
      <c r="F24" s="577"/>
      <c r="G24" s="578"/>
      <c r="H24" s="582" t="s">
        <v>21</v>
      </c>
      <c r="I24" s="577"/>
      <c r="J24" s="578"/>
      <c r="K24" s="583" t="s">
        <v>22</v>
      </c>
      <c r="L24" s="577"/>
      <c r="M24" s="578"/>
    </row>
    <row r="25" spans="1:14" ht="13.5" thickBot="1" x14ac:dyDescent="0.25">
      <c r="A25" s="568"/>
      <c r="B25" s="573"/>
      <c r="C25" s="574"/>
      <c r="D25" s="575"/>
      <c r="E25" s="579"/>
      <c r="F25" s="580"/>
      <c r="G25" s="581"/>
      <c r="H25" s="579"/>
      <c r="I25" s="580"/>
      <c r="J25" s="581"/>
      <c r="K25" s="579"/>
      <c r="L25" s="580"/>
      <c r="M25" s="581"/>
    </row>
    <row r="26" spans="1:14" x14ac:dyDescent="0.2">
      <c r="A26" s="568"/>
      <c r="B26" s="584" t="s">
        <v>23</v>
      </c>
      <c r="C26" s="557" t="s">
        <v>31</v>
      </c>
      <c r="D26" s="559" t="s">
        <v>32</v>
      </c>
      <c r="E26" s="563" t="s">
        <v>24</v>
      </c>
      <c r="F26" s="557" t="s">
        <v>31</v>
      </c>
      <c r="G26" s="559" t="s">
        <v>32</v>
      </c>
      <c r="H26" s="563" t="s">
        <v>25</v>
      </c>
      <c r="I26" s="557" t="s">
        <v>31</v>
      </c>
      <c r="J26" s="559" t="s">
        <v>32</v>
      </c>
      <c r="K26" s="566" t="s">
        <v>19</v>
      </c>
      <c r="L26" s="557" t="s">
        <v>31</v>
      </c>
      <c r="M26" s="559" t="s">
        <v>32</v>
      </c>
      <c r="N26" s="553" t="s">
        <v>37</v>
      </c>
    </row>
    <row r="27" spans="1:14" ht="13.5" thickBot="1" x14ac:dyDescent="0.25">
      <c r="A27" s="569"/>
      <c r="B27" s="556"/>
      <c r="C27" s="558"/>
      <c r="D27" s="560"/>
      <c r="E27" s="564"/>
      <c r="F27" s="558"/>
      <c r="G27" s="560"/>
      <c r="H27" s="564"/>
      <c r="I27" s="565"/>
      <c r="J27" s="560"/>
      <c r="K27" s="556"/>
      <c r="L27" s="558"/>
      <c r="M27" s="560"/>
      <c r="N27" s="554"/>
    </row>
    <row r="28" spans="1:14" x14ac:dyDescent="0.2">
      <c r="A28" s="95" t="s">
        <v>7</v>
      </c>
      <c r="B28" s="78">
        <f>5856631.35+4235823.45</f>
        <v>10092454.800000001</v>
      </c>
      <c r="C28" s="76">
        <f>C40/12</f>
        <v>10597750</v>
      </c>
      <c r="D28" s="79">
        <f>B28-C28</f>
        <v>-505295.19999999925</v>
      </c>
      <c r="E28" s="96">
        <f>114429969.87+3203558.08</f>
        <v>117633527.95</v>
      </c>
      <c r="F28" s="76">
        <f>F40/12</f>
        <v>99137500</v>
      </c>
      <c r="G28" s="79">
        <f>E28-F28</f>
        <v>18496027.950000003</v>
      </c>
      <c r="H28" s="97">
        <f>210187412.06+18137711.21</f>
        <v>228325123.27000001</v>
      </c>
      <c r="I28" s="98">
        <f>I40/12</f>
        <v>211514416.66666666</v>
      </c>
      <c r="J28" s="99">
        <f>H28-I28</f>
        <v>16810706.603333354</v>
      </c>
      <c r="K28" s="130">
        <f>SUM($B8+$E8+$H8+$K8+$B28+$E28+$H28)</f>
        <v>492182423.00999999</v>
      </c>
      <c r="L28" s="98">
        <f>L40/12</f>
        <v>426583833.33333331</v>
      </c>
      <c r="M28" s="100">
        <f>K28-L28</f>
        <v>65598589.676666677</v>
      </c>
      <c r="N28" s="101">
        <f>M28/L40</f>
        <v>1.2814712402498978E-2</v>
      </c>
    </row>
    <row r="29" spans="1:14" x14ac:dyDescent="0.2">
      <c r="A29" s="102" t="s">
        <v>8</v>
      </c>
      <c r="B29" s="81">
        <f>16502152.26+3641321.94+B28</f>
        <v>30235929</v>
      </c>
      <c r="C29" s="82">
        <f>C28*2</f>
        <v>21195500</v>
      </c>
      <c r="D29" s="77">
        <f>B29-C29</f>
        <v>9040429</v>
      </c>
      <c r="E29" s="103">
        <f>5600915.29+3748653.69+E28</f>
        <v>126983096.93000001</v>
      </c>
      <c r="F29" s="82">
        <f>F28*2</f>
        <v>198275000</v>
      </c>
      <c r="G29" s="77">
        <f>E29-F29</f>
        <v>-71291903.069999993</v>
      </c>
      <c r="H29" s="104">
        <f>355087429.39+26394278.95+H28</f>
        <v>609806831.61000001</v>
      </c>
      <c r="I29" s="83">
        <f>I28*2</f>
        <v>423028833.33333331</v>
      </c>
      <c r="J29" s="77">
        <f>H29-I29</f>
        <v>186777998.2766667</v>
      </c>
      <c r="K29" s="85">
        <f t="shared" ref="K29:K40" si="6">SUM($B9+$E9+$H9+$K9+$B29+$E29+$H29)</f>
        <v>1015604187.09</v>
      </c>
      <c r="L29" s="83">
        <f>L28*2</f>
        <v>853167666.66666663</v>
      </c>
      <c r="M29" s="77">
        <f>K29-L29</f>
        <v>162436520.42333341</v>
      </c>
      <c r="N29" s="105">
        <f>M29/L40</f>
        <v>3.1732043373915442E-2</v>
      </c>
    </row>
    <row r="30" spans="1:14" x14ac:dyDescent="0.2">
      <c r="A30" s="102" t="s">
        <v>9</v>
      </c>
      <c r="B30" s="81">
        <f>4024124.3+3473774.67+B29</f>
        <v>37733827.969999999</v>
      </c>
      <c r="C30" s="83">
        <f>C28*3</f>
        <v>31793250</v>
      </c>
      <c r="D30" s="77">
        <f t="shared" ref="D30:D39" si="7">B30-C30</f>
        <v>5940577.9699999988</v>
      </c>
      <c r="E30" s="106">
        <f>4746106.99+118986099.23+E29</f>
        <v>250715303.15000001</v>
      </c>
      <c r="F30" s="83">
        <f>F28*3</f>
        <v>297412500</v>
      </c>
      <c r="G30" s="77">
        <f t="shared" ref="G30:G39" si="8">E30-F30</f>
        <v>-46697196.849999994</v>
      </c>
      <c r="H30" s="104">
        <f>147019723.5+7314442.67+H29</f>
        <v>764140997.77999997</v>
      </c>
      <c r="I30" s="83">
        <f>I28*3</f>
        <v>634543250</v>
      </c>
      <c r="J30" s="77">
        <f t="shared" ref="J30:J39" si="9">H30-I30</f>
        <v>129597747.77999997</v>
      </c>
      <c r="K30" s="84">
        <f t="shared" si="6"/>
        <v>1400621457.28</v>
      </c>
      <c r="L30" s="83">
        <f>L28*3</f>
        <v>1279751500</v>
      </c>
      <c r="M30" s="77">
        <f t="shared" ref="M30:M39" si="10">K30-L30</f>
        <v>120869957.27999997</v>
      </c>
      <c r="N30" s="105">
        <f>M30/L40</f>
        <v>2.3611997579217524E-2</v>
      </c>
    </row>
    <row r="31" spans="1:14" x14ac:dyDescent="0.2">
      <c r="A31" s="102" t="s">
        <v>10</v>
      </c>
      <c r="B31" s="81">
        <f>4789113.36+4195929.06+B30</f>
        <v>46718870.390000001</v>
      </c>
      <c r="C31" s="82">
        <f>C28*4</f>
        <v>42391000</v>
      </c>
      <c r="D31" s="77">
        <f t="shared" si="7"/>
        <v>4327870.3900000006</v>
      </c>
      <c r="E31" s="103">
        <f>138658386.96+10836640.84+E30</f>
        <v>400210330.95000005</v>
      </c>
      <c r="F31" s="82">
        <f>F28*4</f>
        <v>396550000</v>
      </c>
      <c r="G31" s="77">
        <f t="shared" si="8"/>
        <v>3660330.9500000477</v>
      </c>
      <c r="H31" s="107">
        <f>152930799.13+3831554.52+H30</f>
        <v>920903351.42999995</v>
      </c>
      <c r="I31" s="82">
        <f>I28*4</f>
        <v>846057666.66666663</v>
      </c>
      <c r="J31" s="77">
        <f t="shared" si="9"/>
        <v>74845684.763333321</v>
      </c>
      <c r="K31" s="84">
        <f t="shared" si="6"/>
        <v>1799065464.99</v>
      </c>
      <c r="L31" s="82">
        <f>L28*4</f>
        <v>1706335333.3333333</v>
      </c>
      <c r="M31" s="77">
        <f t="shared" si="10"/>
        <v>92730131.656666756</v>
      </c>
      <c r="N31" s="105">
        <f>M31/L40</f>
        <v>1.8114870671506685E-2</v>
      </c>
    </row>
    <row r="32" spans="1:14" x14ac:dyDescent="0.2">
      <c r="A32" s="102" t="s">
        <v>11</v>
      </c>
      <c r="B32" s="81">
        <f>5488200.21+4334815.19+B31</f>
        <v>56541885.789999999</v>
      </c>
      <c r="C32" s="82">
        <f>C28*5</f>
        <v>52988750</v>
      </c>
      <c r="D32" s="77">
        <f t="shared" si="7"/>
        <v>3553135.7899999991</v>
      </c>
      <c r="E32" s="106">
        <f>357603.93+E31</f>
        <v>400567934.88000005</v>
      </c>
      <c r="F32" s="82">
        <f>F28*5</f>
        <v>495687500</v>
      </c>
      <c r="G32" s="77">
        <f t="shared" si="8"/>
        <v>-95119565.119999945</v>
      </c>
      <c r="H32" s="107">
        <f>275370058.24+H31</f>
        <v>1196273409.6700001</v>
      </c>
      <c r="I32" s="82">
        <f>I28*5</f>
        <v>1057572083.3333333</v>
      </c>
      <c r="J32" s="77">
        <f t="shared" si="9"/>
        <v>138701326.33666682</v>
      </c>
      <c r="K32" s="84">
        <f t="shared" si="6"/>
        <v>2173049204.7799997</v>
      </c>
      <c r="L32" s="82">
        <f>L28*5</f>
        <v>2132919166.6666665</v>
      </c>
      <c r="M32" s="77">
        <f t="shared" si="10"/>
        <v>40130038.113333225</v>
      </c>
      <c r="N32" s="105">
        <f>M32/L40</f>
        <v>7.839420018912505E-3</v>
      </c>
    </row>
    <row r="33" spans="1:14" x14ac:dyDescent="0.2">
      <c r="A33" s="102" t="s">
        <v>12</v>
      </c>
      <c r="B33" s="81">
        <f>5755009.31+4630399.59+B32</f>
        <v>66927294.689999998</v>
      </c>
      <c r="C33" s="82">
        <f>C28*6</f>
        <v>63586500</v>
      </c>
      <c r="D33" s="77">
        <f t="shared" si="7"/>
        <v>3340794.6899999976</v>
      </c>
      <c r="E33" s="103">
        <f>11316461.61+121791396.77+E32</f>
        <v>533675793.26000005</v>
      </c>
      <c r="F33" s="82">
        <f>F28*6</f>
        <v>594825000</v>
      </c>
      <c r="G33" s="77">
        <f t="shared" si="8"/>
        <v>-61149206.73999995</v>
      </c>
      <c r="H33" s="107">
        <f>152322781.7+429638.68+H32</f>
        <v>1349025830.0500002</v>
      </c>
      <c r="I33" s="82">
        <f>I28*6</f>
        <v>1269086500</v>
      </c>
      <c r="J33" s="77">
        <f t="shared" si="9"/>
        <v>79939330.050000191</v>
      </c>
      <c r="K33" s="84">
        <f t="shared" si="6"/>
        <v>2566234885.3400002</v>
      </c>
      <c r="L33" s="82">
        <f>L28*6</f>
        <v>2559503000</v>
      </c>
      <c r="M33" s="77">
        <f t="shared" si="10"/>
        <v>6731885.3400001526</v>
      </c>
      <c r="N33" s="105">
        <f>M33/L40</f>
        <v>1.3150766652744992E-3</v>
      </c>
    </row>
    <row r="34" spans="1:14" x14ac:dyDescent="0.2">
      <c r="A34" s="102" t="s">
        <v>13</v>
      </c>
      <c r="B34" s="81">
        <f>7411403.76+5800402.32+B33</f>
        <v>80139100.769999996</v>
      </c>
      <c r="C34" s="82">
        <f>C28*7</f>
        <v>74184250</v>
      </c>
      <c r="D34" s="77">
        <f t="shared" si="7"/>
        <v>5954850.7699999958</v>
      </c>
      <c r="E34" s="106">
        <f>261122485.01+90315102.52+E33</f>
        <v>885113380.78999996</v>
      </c>
      <c r="F34" s="82">
        <f>F28*7</f>
        <v>693962500</v>
      </c>
      <c r="G34" s="77">
        <f t="shared" si="8"/>
        <v>191150880.78999996</v>
      </c>
      <c r="H34" s="107">
        <f>153484765.7+3299826.36+H33</f>
        <v>1505810422.1100001</v>
      </c>
      <c r="I34" s="82">
        <f>I28*7</f>
        <v>1480600916.6666665</v>
      </c>
      <c r="J34" s="77">
        <f t="shared" si="9"/>
        <v>25209505.443333626</v>
      </c>
      <c r="K34" s="84">
        <f t="shared" si="6"/>
        <v>3207167591.0100002</v>
      </c>
      <c r="L34" s="82">
        <f>L28*7</f>
        <v>2986086833.333333</v>
      </c>
      <c r="M34" s="77">
        <f t="shared" si="10"/>
        <v>221080757.67666721</v>
      </c>
      <c r="N34" s="105">
        <f>M34/L40</f>
        <v>4.3188220071761436E-2</v>
      </c>
    </row>
    <row r="35" spans="1:14" x14ac:dyDescent="0.2">
      <c r="A35" s="102" t="s">
        <v>14</v>
      </c>
      <c r="B35" s="81">
        <f>8079478.8+5320976.73+B34</f>
        <v>93539556.299999997</v>
      </c>
      <c r="C35" s="82">
        <f>C28*8</f>
        <v>84782000</v>
      </c>
      <c r="D35" s="77">
        <f t="shared" si="7"/>
        <v>8757556.299999997</v>
      </c>
      <c r="E35" s="103">
        <f t="shared" ref="E35" si="11">0+E34</f>
        <v>885113380.78999996</v>
      </c>
      <c r="F35" s="82">
        <f>F28*8</f>
        <v>793100000</v>
      </c>
      <c r="G35" s="77">
        <f t="shared" si="8"/>
        <v>92013380.789999962</v>
      </c>
      <c r="H35" s="107">
        <f>291227516.76+H34</f>
        <v>1797037938.8700001</v>
      </c>
      <c r="I35" s="82">
        <f>I28*8</f>
        <v>1692115333.3333333</v>
      </c>
      <c r="J35" s="77">
        <f t="shared" si="9"/>
        <v>104922605.53666687</v>
      </c>
      <c r="K35" s="84">
        <f t="shared" si="6"/>
        <v>3638327138.3100004</v>
      </c>
      <c r="L35" s="82">
        <f>L28*8</f>
        <v>3412670666.6666665</v>
      </c>
      <c r="M35" s="77">
        <f t="shared" si="10"/>
        <v>225656471.64333391</v>
      </c>
      <c r="N35" s="105">
        <f>M35/L40</f>
        <v>4.4082087741904176E-2</v>
      </c>
    </row>
    <row r="36" spans="1:14" x14ac:dyDescent="0.2">
      <c r="A36" s="102" t="s">
        <v>15</v>
      </c>
      <c r="B36" s="81">
        <f>6682657.85+6809813.55+B35</f>
        <v>107032027.69999999</v>
      </c>
      <c r="C36" s="82">
        <f>C28*9</f>
        <v>95379750</v>
      </c>
      <c r="D36" s="77">
        <f t="shared" si="7"/>
        <v>11652277.699999988</v>
      </c>
      <c r="E36" s="106">
        <f>164961538.24+E35</f>
        <v>1050074919.03</v>
      </c>
      <c r="F36" s="82">
        <f>F28*9</f>
        <v>892237500</v>
      </c>
      <c r="G36" s="77">
        <f t="shared" si="8"/>
        <v>157837419.02999997</v>
      </c>
      <c r="H36" s="107">
        <f>168242530.22+H35</f>
        <v>1965280469.0900002</v>
      </c>
      <c r="I36" s="82">
        <f>I28*9</f>
        <v>1903629750</v>
      </c>
      <c r="J36" s="77">
        <f t="shared" si="9"/>
        <v>61650719.090000153</v>
      </c>
      <c r="K36" s="84">
        <f t="shared" si="6"/>
        <v>4093450172.8100004</v>
      </c>
      <c r="L36" s="82">
        <f>L28*9</f>
        <v>3839254500</v>
      </c>
      <c r="M36" s="77">
        <f t="shared" si="10"/>
        <v>254195672.81000042</v>
      </c>
      <c r="N36" s="105">
        <f>M36/L40</f>
        <v>4.9657232831920965E-2</v>
      </c>
    </row>
    <row r="37" spans="1:14" x14ac:dyDescent="0.2">
      <c r="A37" s="102" t="s">
        <v>16</v>
      </c>
      <c r="B37" s="81">
        <f>7060245.11+4747052.72+B36</f>
        <v>118839325.52999999</v>
      </c>
      <c r="C37" s="82">
        <f>C28*10</f>
        <v>105977500</v>
      </c>
      <c r="D37" s="77">
        <f t="shared" si="7"/>
        <v>12861825.529999986</v>
      </c>
      <c r="E37" s="103">
        <f>41939963.75+2769570.56+E36</f>
        <v>1094784453.3399999</v>
      </c>
      <c r="F37" s="82">
        <f>F28*10</f>
        <v>991375000</v>
      </c>
      <c r="G37" s="77">
        <f t="shared" si="8"/>
        <v>103409453.33999991</v>
      </c>
      <c r="H37" s="107">
        <f>156996493.89+13862327.53+H36</f>
        <v>2136139290.5100002</v>
      </c>
      <c r="I37" s="82">
        <f>I28*10</f>
        <v>2115144166.6666665</v>
      </c>
      <c r="J37" s="77">
        <f t="shared" si="9"/>
        <v>20995123.843333721</v>
      </c>
      <c r="K37" s="84">
        <f t="shared" si="6"/>
        <v>4433983315.7799997</v>
      </c>
      <c r="L37" s="82">
        <f>L28*10</f>
        <v>4265838333.333333</v>
      </c>
      <c r="M37" s="77">
        <f t="shared" si="10"/>
        <v>168144982.44666672</v>
      </c>
      <c r="N37" s="105">
        <f>M37/L40</f>
        <v>3.2847193858859848E-2</v>
      </c>
    </row>
    <row r="38" spans="1:14" x14ac:dyDescent="0.2">
      <c r="A38" s="102" t="s">
        <v>17</v>
      </c>
      <c r="B38" s="81">
        <f>5277939.9+4389266.69+B37</f>
        <v>128506532.11999999</v>
      </c>
      <c r="C38" s="82">
        <f>C28*11</f>
        <v>116575250</v>
      </c>
      <c r="D38" s="77">
        <f t="shared" si="7"/>
        <v>11931282.11999999</v>
      </c>
      <c r="E38" s="103">
        <f>6992869.72+3104897.49+E37</f>
        <v>1104882220.55</v>
      </c>
      <c r="F38" s="82">
        <f>F28*11</f>
        <v>1090512500</v>
      </c>
      <c r="G38" s="77">
        <f t="shared" si="8"/>
        <v>14369720.549999952</v>
      </c>
      <c r="H38" s="107">
        <f>325541193.53+H37</f>
        <v>2461680484.04</v>
      </c>
      <c r="I38" s="82">
        <f>I28*11</f>
        <v>2326658583.333333</v>
      </c>
      <c r="J38" s="77">
        <f t="shared" si="9"/>
        <v>135021900.70666695</v>
      </c>
      <c r="K38" s="84">
        <f t="shared" si="6"/>
        <v>4876421455.3299999</v>
      </c>
      <c r="L38" s="82">
        <f>L28*11</f>
        <v>4692422166.666666</v>
      </c>
      <c r="M38" s="77">
        <f t="shared" si="10"/>
        <v>183999288.66333389</v>
      </c>
      <c r="N38" s="105">
        <f>M38/L40</f>
        <v>3.5944339323558887E-2</v>
      </c>
    </row>
    <row r="39" spans="1:14" ht="13.5" thickBot="1" x14ac:dyDescent="0.25">
      <c r="A39" s="149" t="s">
        <v>18</v>
      </c>
      <c r="B39" s="143">
        <f>4392763.45+5591571.14+B38</f>
        <v>138490866.70999998</v>
      </c>
      <c r="C39" s="141">
        <f>C28*12</f>
        <v>127173000</v>
      </c>
      <c r="D39" s="77">
        <f t="shared" si="7"/>
        <v>11317866.709999979</v>
      </c>
      <c r="E39" s="144">
        <f>3914943.29+212139668.09+E38</f>
        <v>1320936831.9299998</v>
      </c>
      <c r="F39" s="141">
        <f>F28*12</f>
        <v>1189650000</v>
      </c>
      <c r="G39" s="151">
        <f t="shared" si="8"/>
        <v>131286831.92999983</v>
      </c>
      <c r="H39" s="146">
        <f>205961080.28+H38</f>
        <v>2667641564.3200002</v>
      </c>
      <c r="I39" s="141">
        <f>I28*12</f>
        <v>2538173000</v>
      </c>
      <c r="J39" s="77">
        <f t="shared" si="9"/>
        <v>129468564.32000017</v>
      </c>
      <c r="K39" s="131">
        <f t="shared" si="6"/>
        <v>5434439599.5500002</v>
      </c>
      <c r="L39" s="147">
        <f>L28*12</f>
        <v>5119006000</v>
      </c>
      <c r="M39" s="77">
        <f t="shared" si="10"/>
        <v>315433599.55000019</v>
      </c>
      <c r="N39" s="105">
        <f>M39/L40</f>
        <v>6.1620087874481921E-2</v>
      </c>
    </row>
    <row r="40" spans="1:14" ht="13.5" thickBot="1" x14ac:dyDescent="0.25">
      <c r="A40" s="86" t="s">
        <v>19</v>
      </c>
      <c r="B40" s="129">
        <f>B39</f>
        <v>138490866.70999998</v>
      </c>
      <c r="C40" s="87">
        <v>127173000</v>
      </c>
      <c r="D40" s="89"/>
      <c r="E40" s="133">
        <f>E39</f>
        <v>1320936831.9299998</v>
      </c>
      <c r="F40" s="108">
        <v>1189650000</v>
      </c>
      <c r="G40" s="109"/>
      <c r="H40" s="129">
        <f>H39</f>
        <v>2667641564.3200002</v>
      </c>
      <c r="I40" s="87">
        <v>2538173000</v>
      </c>
      <c r="J40" s="110"/>
      <c r="K40" s="132">
        <f t="shared" si="6"/>
        <v>5434439599.5500002</v>
      </c>
      <c r="L40" s="111">
        <f>SUM(F20+I20+L20+O20+F40+I40+C20+C40)</f>
        <v>5119006000</v>
      </c>
      <c r="M40" s="112"/>
      <c r="N40" s="113"/>
    </row>
    <row r="41" spans="1:14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4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4" x14ac:dyDescent="0.2">
      <c r="K43" s="114"/>
      <c r="L43" s="115"/>
    </row>
    <row r="44" spans="1:14" x14ac:dyDescent="0.2">
      <c r="K44" s="114"/>
    </row>
    <row r="45" spans="1:14" x14ac:dyDescent="0.2">
      <c r="K45" s="114"/>
    </row>
    <row r="46" spans="1:14" x14ac:dyDescent="0.2">
      <c r="K46" s="114"/>
    </row>
    <row r="48" spans="1:14" x14ac:dyDescent="0.2">
      <c r="K48" s="116"/>
    </row>
  </sheetData>
  <mergeCells count="38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B24:D25"/>
    <mergeCell ref="E24:G25"/>
    <mergeCell ref="H24:J25"/>
    <mergeCell ref="K24:M25"/>
    <mergeCell ref="B26:B27"/>
    <mergeCell ref="C26:C27"/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7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1" tint="0.14999847407452621"/>
  </sheetPr>
  <dimension ref="A1:S50"/>
  <sheetViews>
    <sheetView showGridLines="0" zoomScaleNormal="100" workbookViewId="0"/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55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20.25" x14ac:dyDescent="0.3">
      <c r="B2" s="587" t="s">
        <v>57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92"/>
      <c r="P2" s="592"/>
      <c r="Q2" s="592"/>
      <c r="R2" s="592"/>
      <c r="S2" s="592"/>
    </row>
    <row r="3" spans="1:19" ht="12.75" customHeight="1" x14ac:dyDescent="0.25">
      <c r="A3" s="59"/>
    </row>
    <row r="4" spans="1:19" ht="12.75" customHeight="1" x14ac:dyDescent="0.2"/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56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  <row r="49" spans="2:19" ht="20.25" x14ac:dyDescent="0.3">
      <c r="B49" s="587" t="s">
        <v>57</v>
      </c>
      <c r="C49" s="586"/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92"/>
      <c r="P49" s="592"/>
      <c r="Q49" s="592"/>
      <c r="R49" s="592"/>
      <c r="S49" s="592"/>
    </row>
    <row r="50" spans="2:19" ht="12.75" customHeight="1" x14ac:dyDescent="0.2"/>
  </sheetData>
  <mergeCells count="4">
    <mergeCell ref="B1:S1"/>
    <mergeCell ref="B2:S2"/>
    <mergeCell ref="B48:S48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499984740745262"/>
    <pageSetUpPr fitToPage="1"/>
  </sheetPr>
  <dimension ref="A1:N48"/>
  <sheetViews>
    <sheetView showGridLines="0" topLeftCell="A7" zoomScale="120" zoomScaleNormal="120" workbookViewId="0">
      <selection activeCell="B9" sqref="B9"/>
    </sheetView>
  </sheetViews>
  <sheetFormatPr defaultRowHeight="15" x14ac:dyDescent="0.25"/>
  <cols>
    <col min="1" max="1" width="8.7109375" customWidth="1"/>
    <col min="2" max="2" width="13.5703125" bestFit="1" customWidth="1"/>
    <col min="3" max="4" width="12.140625" customWidth="1"/>
    <col min="5" max="5" width="13.140625" bestFit="1" customWidth="1"/>
    <col min="6" max="7" width="12.140625" customWidth="1"/>
    <col min="8" max="8" width="13.5703125" bestFit="1" customWidth="1"/>
    <col min="9" max="10" width="12.140625" customWidth="1"/>
    <col min="11" max="11" width="13.5703125" bestFit="1" customWidth="1"/>
    <col min="12" max="13" width="12.140625" customWidth="1"/>
    <col min="14" max="14" width="10.85546875" customWidth="1"/>
    <col min="15" max="15" width="9.7109375" customWidth="1"/>
    <col min="16" max="16" width="12.42578125" customWidth="1"/>
    <col min="17" max="18" width="9.7109375" customWidth="1"/>
    <col min="19" max="19" width="11" customWidth="1"/>
  </cols>
  <sheetData>
    <row r="1" spans="1:14" ht="20.25" x14ac:dyDescent="0.3">
      <c r="A1" s="593" t="s">
        <v>58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</row>
    <row r="2" spans="1:14" ht="20.25" x14ac:dyDescent="0.3">
      <c r="A2" s="594" t="s">
        <v>69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</row>
    <row r="3" spans="1:14" ht="13.5" customHeight="1" thickBot="1" x14ac:dyDescent="0.3">
      <c r="B3" s="152"/>
      <c r="C3" s="153"/>
      <c r="D3" s="154"/>
      <c r="E3" s="154"/>
      <c r="F3" s="154"/>
      <c r="G3" s="155"/>
      <c r="H3" s="155"/>
      <c r="I3" s="155"/>
      <c r="J3" s="155"/>
      <c r="K3" s="156"/>
      <c r="L3" s="156"/>
      <c r="M3" s="157" t="s">
        <v>59</v>
      </c>
      <c r="N3" s="158"/>
    </row>
    <row r="4" spans="1:14" ht="13.5" customHeight="1" x14ac:dyDescent="0.25">
      <c r="A4" s="595" t="s">
        <v>2</v>
      </c>
      <c r="B4" s="598" t="s">
        <v>27</v>
      </c>
      <c r="C4" s="599"/>
      <c r="D4" s="600"/>
      <c r="E4" s="604" t="s">
        <v>28</v>
      </c>
      <c r="F4" s="599"/>
      <c r="G4" s="600"/>
      <c r="H4" s="605" t="s">
        <v>29</v>
      </c>
      <c r="I4" s="599"/>
      <c r="J4" s="600"/>
      <c r="K4" s="606" t="s">
        <v>30</v>
      </c>
      <c r="L4" s="599"/>
      <c r="M4" s="600"/>
      <c r="N4" s="158"/>
    </row>
    <row r="5" spans="1:14" ht="13.5" customHeight="1" thickBot="1" x14ac:dyDescent="0.3">
      <c r="A5" s="596"/>
      <c r="B5" s="601"/>
      <c r="C5" s="602"/>
      <c r="D5" s="603"/>
      <c r="E5" s="601"/>
      <c r="F5" s="602"/>
      <c r="G5" s="603"/>
      <c r="H5" s="601"/>
      <c r="I5" s="602"/>
      <c r="J5" s="603"/>
      <c r="K5" s="601"/>
      <c r="L5" s="602"/>
      <c r="M5" s="603"/>
      <c r="N5" s="156"/>
    </row>
    <row r="6" spans="1:14" x14ac:dyDescent="0.25">
      <c r="A6" s="596"/>
      <c r="B6" s="607" t="s">
        <v>3</v>
      </c>
      <c r="C6" s="609" t="s">
        <v>31</v>
      </c>
      <c r="D6" s="611" t="s">
        <v>32</v>
      </c>
      <c r="E6" s="607" t="s">
        <v>4</v>
      </c>
      <c r="F6" s="609" t="s">
        <v>31</v>
      </c>
      <c r="G6" s="611" t="s">
        <v>32</v>
      </c>
      <c r="H6" s="624" t="s">
        <v>5</v>
      </c>
      <c r="I6" s="609" t="s">
        <v>31</v>
      </c>
      <c r="J6" s="611" t="s">
        <v>32</v>
      </c>
      <c r="K6" s="607" t="s">
        <v>6</v>
      </c>
      <c r="L6" s="609" t="s">
        <v>31</v>
      </c>
      <c r="M6" s="611" t="s">
        <v>32</v>
      </c>
    </row>
    <row r="7" spans="1:14" ht="15.75" thickBot="1" x14ac:dyDescent="0.3">
      <c r="A7" s="597"/>
      <c r="B7" s="608"/>
      <c r="C7" s="610"/>
      <c r="D7" s="612"/>
      <c r="E7" s="608"/>
      <c r="F7" s="610"/>
      <c r="G7" s="612"/>
      <c r="H7" s="608"/>
      <c r="I7" s="610"/>
      <c r="J7" s="612"/>
      <c r="K7" s="608"/>
      <c r="L7" s="610"/>
      <c r="M7" s="612"/>
    </row>
    <row r="8" spans="1:14" s="161" customFormat="1" ht="12.75" x14ac:dyDescent="0.2">
      <c r="A8" s="201" t="s">
        <v>7</v>
      </c>
      <c r="B8" s="137">
        <f>SUM(47595748.2+71009068.17)</f>
        <v>118604816.37</v>
      </c>
      <c r="C8" s="192">
        <f>C20/12</f>
        <v>99949000</v>
      </c>
      <c r="D8" s="164">
        <f>B8-C8</f>
        <v>18655816.370000005</v>
      </c>
      <c r="E8" s="193">
        <f>SUM(3308819.34+5082485.48)</f>
        <v>8391304.8200000003</v>
      </c>
      <c r="F8" s="192">
        <f>F20/12</f>
        <v>7084750</v>
      </c>
      <c r="G8" s="164">
        <f>E8-F8</f>
        <v>1306554.8200000003</v>
      </c>
      <c r="H8" s="193">
        <f>SUM(10093537.17+1347+64.2)</f>
        <v>10094948.369999999</v>
      </c>
      <c r="I8" s="192">
        <f>I20/12</f>
        <v>3887416.6666666665</v>
      </c>
      <c r="J8" s="194">
        <f>H8-I8</f>
        <v>6207531.7033333331</v>
      </c>
      <c r="K8" s="193">
        <f>SUM(674175.99)</f>
        <v>674175.99</v>
      </c>
      <c r="L8" s="192">
        <f>L20/12</f>
        <v>910166.66666666663</v>
      </c>
      <c r="M8" s="194">
        <f>K8-L8</f>
        <v>-235990.67666666664</v>
      </c>
    </row>
    <row r="9" spans="1:14" s="161" customFormat="1" ht="12.75" x14ac:dyDescent="0.2">
      <c r="A9" s="162" t="s">
        <v>8</v>
      </c>
      <c r="B9" s="136">
        <f>SUM(45179875.64+55975067.95)</f>
        <v>101154943.59</v>
      </c>
      <c r="C9" s="163">
        <f>C8*2</f>
        <v>199898000</v>
      </c>
      <c r="D9" s="164">
        <f>SUM(B8+B9)-C9</f>
        <v>19861759.960000008</v>
      </c>
      <c r="E9" s="137">
        <f>SUM(3210389+3891343.12)</f>
        <v>7101732.1200000001</v>
      </c>
      <c r="F9" s="163">
        <f>F8*2</f>
        <v>14169500</v>
      </c>
      <c r="G9" s="164">
        <f>SUM(E8+E9)-F9</f>
        <v>1323536.9400000013</v>
      </c>
      <c r="H9" s="137">
        <f>SUM(5213.7+1508.66)</f>
        <v>6722.36</v>
      </c>
      <c r="I9" s="163">
        <f>I8*2</f>
        <v>7774833.333333333</v>
      </c>
      <c r="J9" s="164">
        <f>SUM(H8+H9)-I9</f>
        <v>2326837.3966666656</v>
      </c>
      <c r="K9" s="136">
        <v>0</v>
      </c>
      <c r="L9" s="163">
        <f>L8*2</f>
        <v>1820333.3333333333</v>
      </c>
      <c r="M9" s="164">
        <f>SUM(K8+K9)-L9</f>
        <v>-1146157.3433333333</v>
      </c>
    </row>
    <row r="10" spans="1:14" s="161" customFormat="1" ht="12.75" x14ac:dyDescent="0.2">
      <c r="A10" s="162" t="s">
        <v>9</v>
      </c>
      <c r="B10" s="136">
        <f>42994711.49+43297143.64</f>
        <v>86291855.129999995</v>
      </c>
      <c r="C10" s="163">
        <f>C8*3</f>
        <v>299847000</v>
      </c>
      <c r="D10" s="164">
        <f>SUM(B8+B9+B10)-C10</f>
        <v>6204615.0900000334</v>
      </c>
      <c r="E10" s="137">
        <f>2988958.85+3009983.69</f>
        <v>5998942.54</v>
      </c>
      <c r="F10" s="165">
        <f>F8*3</f>
        <v>21254250</v>
      </c>
      <c r="G10" s="164">
        <f>SUM(E8+E9+E10)-F10</f>
        <v>237729.48000000045</v>
      </c>
      <c r="H10" s="137">
        <f>11147.7</f>
        <v>11147.7</v>
      </c>
      <c r="I10" s="165">
        <f>I8*3</f>
        <v>11662250</v>
      </c>
      <c r="J10" s="164">
        <f>SUM(H8+H9+H10)-I10</f>
        <v>-1549431.5700000022</v>
      </c>
      <c r="K10" s="136">
        <f>2471889.61</f>
        <v>2471889.61</v>
      </c>
      <c r="L10" s="165">
        <f>L8*3</f>
        <v>2730500</v>
      </c>
      <c r="M10" s="164">
        <f>SUM(K8+K9+K10)-L10</f>
        <v>415565.59999999963</v>
      </c>
    </row>
    <row r="11" spans="1:14" s="161" customFormat="1" ht="12.75" x14ac:dyDescent="0.2">
      <c r="A11" s="162" t="s">
        <v>10</v>
      </c>
      <c r="B11" s="136">
        <f>32400096.88+32292572.99</f>
        <v>64692669.869999997</v>
      </c>
      <c r="C11" s="163">
        <f>C8*4</f>
        <v>399796000</v>
      </c>
      <c r="D11" s="164">
        <f>SUM(B8+B9+B10+B11)-C11</f>
        <v>-29051715.039999962</v>
      </c>
      <c r="E11" s="137">
        <f>2252429.49+2940146.75</f>
        <v>5192576.24</v>
      </c>
      <c r="F11" s="163">
        <f>F8*4</f>
        <v>28339000</v>
      </c>
      <c r="G11" s="164">
        <f>SUM(E8+E9+E10+E11)-F11</f>
        <v>-1654444.2800000012</v>
      </c>
      <c r="H11" s="137">
        <f>509.7+10575.28+2512.2</f>
        <v>13597.18</v>
      </c>
      <c r="I11" s="163">
        <f>I8*4</f>
        <v>15549666.666666666</v>
      </c>
      <c r="J11" s="164">
        <f>SUM(H8+H9+H10+H11)-I11</f>
        <v>-5423251.0566666685</v>
      </c>
      <c r="K11" s="136">
        <v>0</v>
      </c>
      <c r="L11" s="163">
        <f>L8*4</f>
        <v>3640666.6666666665</v>
      </c>
      <c r="M11" s="164">
        <f>SUM(K8+K9+K10+K11)-L11</f>
        <v>-494601.06666666688</v>
      </c>
    </row>
    <row r="12" spans="1:14" s="161" customFormat="1" ht="12.75" x14ac:dyDescent="0.2">
      <c r="A12" s="162" t="s">
        <v>11</v>
      </c>
      <c r="B12" s="136">
        <f>23573007.17+53866583.6</f>
        <v>77439590.770000011</v>
      </c>
      <c r="C12" s="163">
        <f>C8*5</f>
        <v>499745000</v>
      </c>
      <c r="D12" s="164">
        <f>SUM(B8+B9+B10+B11+B12)-C12</f>
        <v>-51561124.269999981</v>
      </c>
      <c r="E12" s="137">
        <f>1638777.08+4439955.14</f>
        <v>6078732.2199999997</v>
      </c>
      <c r="F12" s="163">
        <f>F8*5</f>
        <v>35423750</v>
      </c>
      <c r="G12" s="164">
        <f>SUM(E8+E9+E10+E11+E12)-F12</f>
        <v>-2660462.0600000024</v>
      </c>
      <c r="H12" s="137">
        <f>2339.7</f>
        <v>2339.6999999999998</v>
      </c>
      <c r="I12" s="163">
        <f>I8*5</f>
        <v>19437083.333333332</v>
      </c>
      <c r="J12" s="164">
        <f>SUM(H8+H9+H10+H11+H12)-I12</f>
        <v>-9308328.0233333353</v>
      </c>
      <c r="K12" s="136">
        <v>0</v>
      </c>
      <c r="L12" s="163">
        <f>L8*5</f>
        <v>4550833.333333333</v>
      </c>
      <c r="M12" s="164">
        <f>SUM(K8+K9+K10+K11+K12)-L12</f>
        <v>-1404767.7333333334</v>
      </c>
    </row>
    <row r="13" spans="1:14" ht="12.75" customHeight="1" x14ac:dyDescent="0.25">
      <c r="A13" s="162" t="s">
        <v>12</v>
      </c>
      <c r="B13" s="136">
        <f>38292265.83+56028362.96</f>
        <v>94320628.789999992</v>
      </c>
      <c r="C13" s="163">
        <f>C8*6</f>
        <v>599694000</v>
      </c>
      <c r="D13" s="164">
        <f>SUM(B8+B9+B10+B11+B12+B13)-C13</f>
        <v>-57189495.480000019</v>
      </c>
      <c r="E13" s="137">
        <f>2662048.51+4590240.36</f>
        <v>7252288.8700000001</v>
      </c>
      <c r="F13" s="163">
        <f>F8*6</f>
        <v>42508500</v>
      </c>
      <c r="G13" s="164">
        <f>SUM(E8+E9+E10+E11+E12+E13)-F13</f>
        <v>-2492923.1900000051</v>
      </c>
      <c r="H13" s="137">
        <f>4594.5+5455.8+7182+5001.86</f>
        <v>22234.16</v>
      </c>
      <c r="I13" s="163">
        <f>I8*6</f>
        <v>23324500</v>
      </c>
      <c r="J13" s="164">
        <f>SUM(H8+H9+H10+H11+H12+H13)-I13</f>
        <v>-13173510.530000003</v>
      </c>
      <c r="K13" s="136">
        <v>0</v>
      </c>
      <c r="L13" s="163">
        <f>L8*6</f>
        <v>5461000</v>
      </c>
      <c r="M13" s="164">
        <f>SUM(K8+K9+K10+K11+K12+K13)-L13</f>
        <v>-2314934.4000000004</v>
      </c>
    </row>
    <row r="14" spans="1:14" ht="12.75" customHeight="1" x14ac:dyDescent="0.25">
      <c r="A14" s="162" t="s">
        <v>13</v>
      </c>
      <c r="B14" s="136">
        <f>43500082.87+70021894.8</f>
        <v>113521977.66999999</v>
      </c>
      <c r="C14" s="163">
        <f>C8*7</f>
        <v>699643000</v>
      </c>
      <c r="D14" s="164">
        <f>SUM(B8+B9+B10+B11+B12+B13+B14)-C14</f>
        <v>-43616517.810000062</v>
      </c>
      <c r="E14" s="137">
        <f>3024091.88+4867867.57</f>
        <v>7891959.4500000002</v>
      </c>
      <c r="F14" s="163">
        <f>F8*7</f>
        <v>49593250</v>
      </c>
      <c r="G14" s="164">
        <f>SUM(E8+E9+E10+E11+E12+E13+E14)-F14</f>
        <v>-1685713.7400000021</v>
      </c>
      <c r="H14" s="137">
        <f>8115.6+19514.68+38270.4+724.5</f>
        <v>66625.179999999993</v>
      </c>
      <c r="I14" s="163">
        <f>I8*7</f>
        <v>27211916.666666664</v>
      </c>
      <c r="J14" s="164">
        <f>SUM(H8+H9+H10+H11+H12+H13+H14)-I14</f>
        <v>-16994302.016666666</v>
      </c>
      <c r="K14" s="136">
        <f>4006693.6</f>
        <v>4006693.6</v>
      </c>
      <c r="L14" s="163">
        <f>L8*7</f>
        <v>6371166.666666666</v>
      </c>
      <c r="M14" s="164">
        <f>SUM(K8+K9+K10+K11+K12+K13+K14)-L14</f>
        <v>781592.53333333321</v>
      </c>
    </row>
    <row r="15" spans="1:14" ht="12.75" customHeight="1" x14ac:dyDescent="0.25">
      <c r="A15" s="226" t="s">
        <v>14</v>
      </c>
      <c r="B15" s="219">
        <f>39807151.44+63443850.87</f>
        <v>103251002.31</v>
      </c>
      <c r="C15" s="220">
        <f>C8*8</f>
        <v>799592000</v>
      </c>
      <c r="D15" s="221">
        <f>SUM(B8+B9+B10+B11+B12+B13+B14+B15)-C15</f>
        <v>-40314515.5</v>
      </c>
      <c r="E15" s="222">
        <f>2767362.19+4410567.09</f>
        <v>7177929.2799999993</v>
      </c>
      <c r="F15" s="220">
        <f>F8*8</f>
        <v>56678000</v>
      </c>
      <c r="G15" s="221">
        <f>SUM(E8+E9+E10+E11+E12+E13+E14+E15)-F15</f>
        <v>-1592534.4600000009</v>
      </c>
      <c r="H15" s="222">
        <f>20262627.42+2418.6+473128.42</f>
        <v>20738174.440000005</v>
      </c>
      <c r="I15" s="220">
        <f>I8*8</f>
        <v>31099333.333333332</v>
      </c>
      <c r="J15" s="221">
        <f>SUM(H8+H9+H10+H11+H12+H13+H14+H15)-I15</f>
        <v>-143544.24333332852</v>
      </c>
      <c r="K15" s="219">
        <v>0</v>
      </c>
      <c r="L15" s="220">
        <f>L8*8</f>
        <v>7281333.333333333</v>
      </c>
      <c r="M15" s="221">
        <f>SUM(K8+K9+K10+K11+K12+K13+K14+K15)-L15</f>
        <v>-128574.13333333377</v>
      </c>
    </row>
    <row r="16" spans="1:14" ht="12.75" customHeight="1" x14ac:dyDescent="0.25">
      <c r="A16" s="162" t="s">
        <v>15</v>
      </c>
      <c r="B16" s="136">
        <f>46822617.79+52506607.35</f>
        <v>99329225.140000001</v>
      </c>
      <c r="C16" s="163">
        <f>C8*9</f>
        <v>899541000</v>
      </c>
      <c r="D16" s="164">
        <f>SUM(B8+B9+B10+B11+B12+B13+B14+B15+B16)-C16</f>
        <v>-40934290.360000014</v>
      </c>
      <c r="E16" s="137">
        <f>3255071.91+2433983.9</f>
        <v>5689055.8100000005</v>
      </c>
      <c r="F16" s="163">
        <f>F8*9</f>
        <v>63762750</v>
      </c>
      <c r="G16" s="164">
        <f>SUM(E8+E9+E10+E11+E12+E13+E14+E15+E16)-F16</f>
        <v>-2988228.6499999985</v>
      </c>
      <c r="H16" s="137">
        <f>1479575.93+216.64+240.52</f>
        <v>1480033.0899999999</v>
      </c>
      <c r="I16" s="163">
        <f>I8*9</f>
        <v>34986750</v>
      </c>
      <c r="J16" s="164">
        <f>SUM(H8+H9+H10+H11+H12+H13+H14+H15+H16)-I16</f>
        <v>-2550927.8199999966</v>
      </c>
      <c r="K16" s="136">
        <f>5281345.1</f>
        <v>5281345.0999999996</v>
      </c>
      <c r="L16" s="163">
        <f>L8*9</f>
        <v>8191500</v>
      </c>
      <c r="M16" s="164">
        <f>SUM(K8+K9+K10+K11+K12+K13+K14+K15+K16)-L16</f>
        <v>4242604.2999999989</v>
      </c>
    </row>
    <row r="17" spans="1:14" s="161" customFormat="1" ht="12.75" customHeight="1" x14ac:dyDescent="0.2">
      <c r="A17" s="162" t="s">
        <v>16</v>
      </c>
      <c r="B17" s="136">
        <f>39527312.97+64077845.55</f>
        <v>103605158.52</v>
      </c>
      <c r="C17" s="163">
        <f>C8*10</f>
        <v>999490000</v>
      </c>
      <c r="D17" s="164">
        <f>SUM(B8+B9+B10+B11+B12+B13+B14+B15+B16+B17)-C17</f>
        <v>-37278131.840000033</v>
      </c>
      <c r="E17" s="137">
        <f>2690955.21+4362315.57</f>
        <v>7053270.7800000003</v>
      </c>
      <c r="F17" s="163">
        <f>F8*10</f>
        <v>70847500</v>
      </c>
      <c r="G17" s="164">
        <f>SUM(E8+E9+E10+E11+E12+E13+E14+E15+E16+E17)-F17</f>
        <v>-3019707.8700000048</v>
      </c>
      <c r="H17" s="137">
        <f>3473.56+8089626.13+1283991.23</f>
        <v>9377090.9199999999</v>
      </c>
      <c r="I17" s="163">
        <f>I8*10</f>
        <v>38874166.666666664</v>
      </c>
      <c r="J17" s="164">
        <f>SUM(H8+H9+H10+H11+H12+H13+H14+H15+H16+H17)-I17</f>
        <v>2938746.4333333373</v>
      </c>
      <c r="K17" s="136">
        <f>2142524.33+708891.73</f>
        <v>2851416.06</v>
      </c>
      <c r="L17" s="163">
        <f>L8*10</f>
        <v>9101666.666666666</v>
      </c>
      <c r="M17" s="164">
        <f>SUM(K8+K9+K10+K11+K12+K13+K14+K15+K16+K17)-L17</f>
        <v>6183853.6933333334</v>
      </c>
    </row>
    <row r="18" spans="1:14" ht="12.75" customHeight="1" x14ac:dyDescent="0.25">
      <c r="A18" s="162" t="s">
        <v>17</v>
      </c>
      <c r="B18" s="136">
        <f>40149188.89+60530361.17</f>
        <v>100679550.06</v>
      </c>
      <c r="C18" s="163">
        <f>C8*11</f>
        <v>1099439000</v>
      </c>
      <c r="D18" s="164">
        <f>SUM(B8+B9+B10+B11+B12+B13+B14+B15+B16+B17+B18)-C18</f>
        <v>-36547581.779999971</v>
      </c>
      <c r="E18" s="137">
        <f>2733291.53+4120808.59</f>
        <v>6854100.1199999992</v>
      </c>
      <c r="F18" s="163">
        <f>F8*11</f>
        <v>77932250</v>
      </c>
      <c r="G18" s="164">
        <f>SUM(E8+E9+E10+E11+E12+E13+E14+E15+E16+E17+E18)-F18</f>
        <v>-3250357.75</v>
      </c>
      <c r="H18" s="137">
        <f>873.6+762.76+579.6+643.51+3600</f>
        <v>6459.47</v>
      </c>
      <c r="I18" s="163">
        <f>I8*11</f>
        <v>42761583.333333328</v>
      </c>
      <c r="J18" s="164">
        <f>SUM(H8+H9+H10+H11+H12+H13+H14+H15+H16+H17+H18)-I18</f>
        <v>-942210.76333332807</v>
      </c>
      <c r="K18" s="136">
        <f>798997.61+846367.49</f>
        <v>1645365.1</v>
      </c>
      <c r="L18" s="163">
        <f>L8*11</f>
        <v>10011833.333333332</v>
      </c>
      <c r="M18" s="164">
        <f>SUM(K8+K9+K10+K11+K12+K13+K14+K15+K16+K17+K18)-L18</f>
        <v>6919052.1266666688</v>
      </c>
    </row>
    <row r="19" spans="1:14" ht="12.75" customHeight="1" thickBot="1" x14ac:dyDescent="0.3">
      <c r="A19" s="237" t="s">
        <v>18</v>
      </c>
      <c r="B19" s="228">
        <f>48522972.32+83381805.4</f>
        <v>131904777.72</v>
      </c>
      <c r="C19" s="229">
        <f>C8*12</f>
        <v>1199388000</v>
      </c>
      <c r="D19" s="164">
        <f>SUM(B8+B9+B10+B11+B12+B13+B14+B15+B16+B17+B18+B19)-C19</f>
        <v>-4591804.0599999428</v>
      </c>
      <c r="E19" s="230">
        <f>3303365.05+5676497.78</f>
        <v>8979862.8300000001</v>
      </c>
      <c r="F19" s="229">
        <f>F8*12</f>
        <v>85017000</v>
      </c>
      <c r="G19" s="164">
        <f>SUM(E8+E9+E10+E11+E12+E13+E14+E15+E16+E17+E18+E19)-F19</f>
        <v>-1355244.9200000018</v>
      </c>
      <c r="H19" s="230">
        <f>973.5+1502972.62+3623.37+36.3+12276964+472.5</f>
        <v>13785042.290000001</v>
      </c>
      <c r="I19" s="229">
        <f>I8*12</f>
        <v>46649000</v>
      </c>
      <c r="J19" s="164">
        <f>SUM(H8+H9+H10+H11+H12+H13+H14+H15+H16+H17+H18+H19)-I19</f>
        <v>8955414.8599999994</v>
      </c>
      <c r="K19" s="228">
        <f>706329.32+11067744.57</f>
        <v>11774073.890000001</v>
      </c>
      <c r="L19" s="229">
        <f>L8*12</f>
        <v>10922000</v>
      </c>
      <c r="M19" s="164">
        <f>SUM(K8+K9+K10+K11+K12+K13+K14+K15+K16+K17+K18+K19)-L19</f>
        <v>17782959.350000001</v>
      </c>
    </row>
    <row r="20" spans="1:14" ht="12.75" customHeight="1" thickBot="1" x14ac:dyDescent="0.3">
      <c r="A20" s="166" t="s">
        <v>19</v>
      </c>
      <c r="B20" s="216">
        <f>SUM(B8:B19)</f>
        <v>1194796195.9400001</v>
      </c>
      <c r="C20" s="167">
        <v>1199388000</v>
      </c>
      <c r="D20" s="168"/>
      <c r="E20" s="216">
        <f>SUM(E8:E19)</f>
        <v>83661755.079999998</v>
      </c>
      <c r="F20" s="167">
        <v>85017000</v>
      </c>
      <c r="G20" s="169"/>
      <c r="H20" s="216">
        <f>SUM(H8:H19)</f>
        <v>55604414.859999999</v>
      </c>
      <c r="I20" s="167">
        <v>46649000</v>
      </c>
      <c r="J20" s="169"/>
      <c r="K20" s="216">
        <f>SUM(K8:K19)</f>
        <v>28704959.350000001</v>
      </c>
      <c r="L20" s="167">
        <v>10922000</v>
      </c>
      <c r="M20" s="169"/>
    </row>
    <row r="21" spans="1:14" x14ac:dyDescent="0.25">
      <c r="A21" s="156"/>
      <c r="B21" s="158"/>
      <c r="C21" s="158"/>
      <c r="D21" s="158"/>
      <c r="E21" s="158"/>
      <c r="F21" s="158"/>
      <c r="G21" s="158"/>
      <c r="H21" s="156"/>
      <c r="I21" s="158"/>
      <c r="J21" s="156"/>
      <c r="K21" s="156"/>
      <c r="L21" s="158"/>
      <c r="M21" s="156"/>
    </row>
    <row r="22" spans="1:14" x14ac:dyDescent="0.25">
      <c r="A22" s="156"/>
      <c r="B22" s="158"/>
      <c r="C22" s="158"/>
      <c r="D22" s="158"/>
      <c r="E22" s="170"/>
      <c r="F22" s="158"/>
      <c r="G22" s="158"/>
      <c r="H22" s="156"/>
      <c r="I22" s="158"/>
      <c r="J22" s="171"/>
      <c r="K22" s="156"/>
      <c r="L22" s="158"/>
      <c r="M22" s="156"/>
    </row>
    <row r="23" spans="1:14" ht="15.75" thickBot="1" x14ac:dyDescent="0.3">
      <c r="A23" s="172"/>
      <c r="B23" s="158"/>
      <c r="C23" s="173"/>
      <c r="D23" s="158"/>
      <c r="E23" s="158"/>
      <c r="F23" s="158"/>
      <c r="G23" s="158"/>
      <c r="M23" s="174" t="s">
        <v>59</v>
      </c>
    </row>
    <row r="24" spans="1:14" x14ac:dyDescent="0.25">
      <c r="A24" s="595" t="s">
        <v>2</v>
      </c>
      <c r="B24" s="613" t="s">
        <v>36</v>
      </c>
      <c r="C24" s="599"/>
      <c r="D24" s="600"/>
      <c r="E24" s="614" t="s">
        <v>20</v>
      </c>
      <c r="F24" s="615"/>
      <c r="G24" s="616"/>
      <c r="H24" s="620" t="s">
        <v>21</v>
      </c>
      <c r="I24" s="615"/>
      <c r="J24" s="616"/>
      <c r="K24" s="621" t="s">
        <v>22</v>
      </c>
      <c r="L24" s="615"/>
      <c r="M24" s="616"/>
    </row>
    <row r="25" spans="1:14" ht="15.75" thickBot="1" x14ac:dyDescent="0.3">
      <c r="A25" s="596"/>
      <c r="B25" s="601"/>
      <c r="C25" s="602"/>
      <c r="D25" s="603"/>
      <c r="E25" s="617"/>
      <c r="F25" s="618"/>
      <c r="G25" s="619"/>
      <c r="H25" s="617"/>
      <c r="I25" s="618"/>
      <c r="J25" s="619"/>
      <c r="K25" s="617"/>
      <c r="L25" s="618"/>
      <c r="M25" s="619"/>
    </row>
    <row r="26" spans="1:14" ht="12.75" customHeight="1" x14ac:dyDescent="0.25">
      <c r="A26" s="596"/>
      <c r="B26" s="607" t="s">
        <v>23</v>
      </c>
      <c r="C26" s="609" t="s">
        <v>31</v>
      </c>
      <c r="D26" s="611" t="s">
        <v>32</v>
      </c>
      <c r="E26" s="627" t="s">
        <v>24</v>
      </c>
      <c r="F26" s="609" t="s">
        <v>31</v>
      </c>
      <c r="G26" s="611" t="s">
        <v>32</v>
      </c>
      <c r="H26" s="627" t="s">
        <v>25</v>
      </c>
      <c r="I26" s="609" t="s">
        <v>31</v>
      </c>
      <c r="J26" s="611" t="s">
        <v>32</v>
      </c>
      <c r="K26" s="630" t="s">
        <v>19</v>
      </c>
      <c r="L26" s="609" t="s">
        <v>31</v>
      </c>
      <c r="M26" s="611" t="s">
        <v>32</v>
      </c>
      <c r="N26" s="622" t="s">
        <v>37</v>
      </c>
    </row>
    <row r="27" spans="1:14" ht="15.75" thickBot="1" x14ac:dyDescent="0.3">
      <c r="A27" s="597"/>
      <c r="B27" s="608"/>
      <c r="C27" s="610"/>
      <c r="D27" s="612"/>
      <c r="E27" s="628"/>
      <c r="F27" s="610"/>
      <c r="G27" s="612"/>
      <c r="H27" s="628"/>
      <c r="I27" s="629"/>
      <c r="J27" s="612"/>
      <c r="K27" s="608"/>
      <c r="L27" s="610"/>
      <c r="M27" s="612"/>
      <c r="N27" s="623"/>
    </row>
    <row r="28" spans="1:14" s="161" customFormat="1" ht="12.75" x14ac:dyDescent="0.2">
      <c r="A28" s="202" t="s">
        <v>7</v>
      </c>
      <c r="B28" s="193">
        <f>SUM(6939986.99+5674910.69)</f>
        <v>12614897.68</v>
      </c>
      <c r="C28" s="192">
        <f>C40/12</f>
        <v>11940000</v>
      </c>
      <c r="D28" s="194">
        <f>B28-C28</f>
        <v>674897.6799999997</v>
      </c>
      <c r="E28" s="195">
        <f>SUM(36860400.08+2787672.72)</f>
        <v>39648072.799999997</v>
      </c>
      <c r="F28" s="192">
        <f>F40/12</f>
        <v>103362666.66666667</v>
      </c>
      <c r="G28" s="194">
        <f>E28-F28</f>
        <v>-63714593.866666675</v>
      </c>
      <c r="H28" s="196">
        <f>SUM(203760289.34+14622336.13)</f>
        <v>218382625.47</v>
      </c>
      <c r="I28" s="197">
        <f>I40/12</f>
        <v>223823583.33333334</v>
      </c>
      <c r="J28" s="198">
        <f>H28-I28</f>
        <v>-5440957.8633333445</v>
      </c>
      <c r="K28" s="160">
        <f>SUM($B8+$E8+$H8+$K8+$B28+$E28+$H28)</f>
        <v>408410841.5</v>
      </c>
      <c r="L28" s="197">
        <f>L40/12</f>
        <v>450957583.33333331</v>
      </c>
      <c r="M28" s="199">
        <f>K28-L28</f>
        <v>-42546741.833333313</v>
      </c>
      <c r="N28" s="200">
        <f>M28/L40</f>
        <v>-7.8622955916092842E-3</v>
      </c>
    </row>
    <row r="29" spans="1:14" s="161" customFormat="1" ht="12.75" x14ac:dyDescent="0.2">
      <c r="A29" s="175" t="s">
        <v>8</v>
      </c>
      <c r="B29" s="136">
        <f>SUM(11448714.74+7385342.01)</f>
        <v>18834056.75</v>
      </c>
      <c r="C29" s="163">
        <f>C28*2</f>
        <v>23880000</v>
      </c>
      <c r="D29" s="164">
        <f>SUM(B28+B29)-C29</f>
        <v>7568954.4299999997</v>
      </c>
      <c r="E29" s="176">
        <f>SUM(6172896.11+3928084.08)</f>
        <v>10100980.190000001</v>
      </c>
      <c r="F29" s="163">
        <f>F28*2</f>
        <v>206725333.33333334</v>
      </c>
      <c r="G29" s="164">
        <f>SUM(E28+E29)-F29</f>
        <v>-156976280.34333336</v>
      </c>
      <c r="H29" s="177">
        <f>SUM(312447672.69+10328962.24)</f>
        <v>322776634.93000001</v>
      </c>
      <c r="I29" s="165">
        <f>I28*2</f>
        <v>447647166.66666669</v>
      </c>
      <c r="J29" s="164">
        <f>SUM(H28+H29)-I29</f>
        <v>93512093.73333329</v>
      </c>
      <c r="K29" s="159">
        <f t="shared" ref="K29:K40" si="0">SUM($B9+$E9+$H9+$K9+$B29+$E29+$H29)</f>
        <v>459975069.94000006</v>
      </c>
      <c r="L29" s="165">
        <f>L28*2</f>
        <v>901915166.66666663</v>
      </c>
      <c r="M29" s="164">
        <f>SUM(K28+K29)-L29</f>
        <v>-33529255.22666657</v>
      </c>
      <c r="N29" s="178">
        <f>M29/L40</f>
        <v>-6.1959366146347779E-3</v>
      </c>
    </row>
    <row r="30" spans="1:14" s="161" customFormat="1" ht="12.75" x14ac:dyDescent="0.2">
      <c r="A30" s="175" t="s">
        <v>9</v>
      </c>
      <c r="B30" s="136">
        <f>4293322.38+3535512.04</f>
        <v>7828834.4199999999</v>
      </c>
      <c r="C30" s="165">
        <f>C28*3</f>
        <v>35820000</v>
      </c>
      <c r="D30" s="164">
        <f>SUM(B28+B29+B30)-C30</f>
        <v>3457788.8500000015</v>
      </c>
      <c r="E30" s="179">
        <f>5049680.4+121134751.3</f>
        <v>126184431.7</v>
      </c>
      <c r="F30" s="165">
        <f>F28*3</f>
        <v>310088000</v>
      </c>
      <c r="G30" s="164">
        <f>SUM(E28+E29+E30)-F30</f>
        <v>-134154515.31</v>
      </c>
      <c r="H30" s="177">
        <f>88931375.87+8703048.9</f>
        <v>97634424.770000011</v>
      </c>
      <c r="I30" s="165">
        <f>I28*3</f>
        <v>671470750</v>
      </c>
      <c r="J30" s="164">
        <f>SUM(H28+H29+H30)-I30</f>
        <v>-32677064.830000043</v>
      </c>
      <c r="K30" s="180">
        <f t="shared" si="0"/>
        <v>326421525.87</v>
      </c>
      <c r="L30" s="165">
        <f>L28*3</f>
        <v>1352872750</v>
      </c>
      <c r="M30" s="164">
        <f>SUM(K28+K29+K30)-L30</f>
        <v>-158065312.69000006</v>
      </c>
      <c r="N30" s="178">
        <f>M30/L40</f>
        <v>-2.920919811009573E-2</v>
      </c>
    </row>
    <row r="31" spans="1:14" s="161" customFormat="1" ht="12.75" x14ac:dyDescent="0.2">
      <c r="A31" s="175" t="s">
        <v>10</v>
      </c>
      <c r="B31" s="136">
        <f>4684308.27+4458816.57</f>
        <v>9143124.8399999999</v>
      </c>
      <c r="C31" s="163">
        <f>C28*4</f>
        <v>47760000</v>
      </c>
      <c r="D31" s="164">
        <f>SUM(B28+B29+B30+B31)-C31</f>
        <v>660913.68999999762</v>
      </c>
      <c r="E31" s="176">
        <f>154275367.06+15188712.97</f>
        <v>169464080.03</v>
      </c>
      <c r="F31" s="163">
        <f>F28*4</f>
        <v>413450666.66666669</v>
      </c>
      <c r="G31" s="164">
        <f>SUM(E28+E29+E30+E31)-F31</f>
        <v>-68053101.946666658</v>
      </c>
      <c r="H31" s="139">
        <f>167560144.52+3708320.01</f>
        <v>171268464.53</v>
      </c>
      <c r="I31" s="163">
        <f>I28*4</f>
        <v>895294333.33333337</v>
      </c>
      <c r="J31" s="164">
        <f>SUM(H28+H29+H30+H31)-I31</f>
        <v>-85232183.633333445</v>
      </c>
      <c r="K31" s="180">
        <f t="shared" si="0"/>
        <v>419774512.69000006</v>
      </c>
      <c r="L31" s="163">
        <f>L28*4</f>
        <v>1803830333.3333333</v>
      </c>
      <c r="M31" s="164">
        <f>SUM(K28+K29+K30+K31)-L31</f>
        <v>-189248383.33333325</v>
      </c>
      <c r="N31" s="178">
        <f>M31/L40</f>
        <v>-3.4971578689372902E-2</v>
      </c>
    </row>
    <row r="32" spans="1:14" s="161" customFormat="1" ht="12.75" x14ac:dyDescent="0.2">
      <c r="A32" s="175" t="s">
        <v>11</v>
      </c>
      <c r="B32" s="136">
        <f>5650470.61+4624101.06</f>
        <v>10274571.67</v>
      </c>
      <c r="C32" s="163">
        <f>C28*5</f>
        <v>59700000</v>
      </c>
      <c r="D32" s="164">
        <f>SUM(B28+B29+B30+B31+B32)-C32</f>
        <v>-1004514.6400000006</v>
      </c>
      <c r="E32" s="179">
        <f>2091449.26</f>
        <v>2091449.26</v>
      </c>
      <c r="F32" s="163">
        <f>F28*5</f>
        <v>516813333.33333337</v>
      </c>
      <c r="G32" s="164">
        <f>SUM(E28+E29+E30+E31+E32)-F32</f>
        <v>-169324319.35333335</v>
      </c>
      <c r="H32" s="139">
        <f>282411157.79+12708476.84</f>
        <v>295119634.63</v>
      </c>
      <c r="I32" s="163">
        <f>I28*5</f>
        <v>1119117916.6666667</v>
      </c>
      <c r="J32" s="164">
        <f>SUM(H28+H29+H30+H31+H32)-I32</f>
        <v>-13936132.336666822</v>
      </c>
      <c r="K32" s="180">
        <f t="shared" si="0"/>
        <v>391006318.25</v>
      </c>
      <c r="L32" s="163">
        <f>L28*5</f>
        <v>2254787916.6666665</v>
      </c>
      <c r="M32" s="164">
        <f>SUM(K28+K29+K30+K31+K32)-L32</f>
        <v>-249199648.41666651</v>
      </c>
      <c r="N32" s="178">
        <f>M32/L40</f>
        <v>-4.6050090153834961E-2</v>
      </c>
    </row>
    <row r="33" spans="1:14" ht="12.75" customHeight="1" x14ac:dyDescent="0.25">
      <c r="A33" s="175" t="s">
        <v>12</v>
      </c>
      <c r="B33" s="136">
        <f>5938443.51+5156090.67</f>
        <v>11094534.18</v>
      </c>
      <c r="C33" s="163">
        <f>C28*6</f>
        <v>71640000</v>
      </c>
      <c r="D33" s="164">
        <f>SUM(B28+B29+B30+B31+B32+B33)-C33</f>
        <v>-1849980.4600000083</v>
      </c>
      <c r="E33" s="176">
        <f>6399448.41+200803537.23</f>
        <v>207202985.63999999</v>
      </c>
      <c r="F33" s="163">
        <f>F28*6</f>
        <v>620176000</v>
      </c>
      <c r="G33" s="164">
        <f>SUM(E28+E29+E30+E31+E32+E33)-F33</f>
        <v>-65484000.379999995</v>
      </c>
      <c r="H33" s="139">
        <f>127474632.93</f>
        <v>127474632.93000001</v>
      </c>
      <c r="I33" s="163">
        <f>I28*6</f>
        <v>1342941500</v>
      </c>
      <c r="J33" s="164">
        <f>SUM(H28+H29+H30+H31+H32+H33)-I33</f>
        <v>-110285082.74000001</v>
      </c>
      <c r="K33" s="180">
        <f t="shared" si="0"/>
        <v>447367304.56999999</v>
      </c>
      <c r="L33" s="163">
        <f>L28*6</f>
        <v>2705745500</v>
      </c>
      <c r="M33" s="164">
        <f>SUM(K28+K29+K30+K31+K32+K33)-L33</f>
        <v>-252789927.17999983</v>
      </c>
      <c r="N33" s="178">
        <f>M33/L40</f>
        <v>-4.6713544784607389E-2</v>
      </c>
    </row>
    <row r="34" spans="1:14" ht="12.75" customHeight="1" x14ac:dyDescent="0.25">
      <c r="A34" s="175" t="s">
        <v>13</v>
      </c>
      <c r="B34" s="136">
        <f>7795980.83+7200980.05</f>
        <v>14996960.879999999</v>
      </c>
      <c r="C34" s="163">
        <f>C28*7</f>
        <v>83580000</v>
      </c>
      <c r="D34" s="164">
        <f>SUM(B28+B29+B30+B31+B32+B33+B34)-C34</f>
        <v>1206980.4199999869</v>
      </c>
      <c r="E34" s="179">
        <f>198823653.66+101240770.73</f>
        <v>300064424.38999999</v>
      </c>
      <c r="F34" s="163">
        <f>F28*7</f>
        <v>723538666.66666675</v>
      </c>
      <c r="G34" s="164">
        <f>SUM(E28+E29+E30+E31+E32+E33+E34)-F34</f>
        <v>131217757.34333324</v>
      </c>
      <c r="H34" s="139">
        <f>188821090.44+16779508.26</f>
        <v>205600598.69999999</v>
      </c>
      <c r="I34" s="163">
        <f>I28*7</f>
        <v>1566765083.3333335</v>
      </c>
      <c r="J34" s="164">
        <f>SUM(H28+H29+H30+H31+H32+H33+H34)-I34</f>
        <v>-128508067.37333345</v>
      </c>
      <c r="K34" s="180">
        <f t="shared" si="0"/>
        <v>646149239.86999989</v>
      </c>
      <c r="L34" s="163">
        <f>L28*7</f>
        <v>3156703083.333333</v>
      </c>
      <c r="M34" s="164">
        <f>SUM(K28+K29+K30+K31+K32+K33+K34)-L34</f>
        <v>-57598270.643332958</v>
      </c>
      <c r="N34" s="178">
        <f>M34/L40</f>
        <v>-1.0643697022379406E-2</v>
      </c>
    </row>
    <row r="35" spans="1:14" ht="12.75" customHeight="1" x14ac:dyDescent="0.25">
      <c r="A35" s="227" t="s">
        <v>14</v>
      </c>
      <c r="B35" s="219">
        <f>9114372.98+4890744.94</f>
        <v>14005117.920000002</v>
      </c>
      <c r="C35" s="220">
        <f>C28*8</f>
        <v>95520000</v>
      </c>
      <c r="D35" s="221">
        <f>SUM(B28+B29+B30+B31+B32+B33+B34+B35)-C35</f>
        <v>3272098.3399999887</v>
      </c>
      <c r="E35" s="223">
        <v>0</v>
      </c>
      <c r="F35" s="220">
        <f>F28*8</f>
        <v>826901333.33333337</v>
      </c>
      <c r="G35" s="221">
        <f>SUM(E28+E29+E30+E31+E32+E33+E34+E35)-F35</f>
        <v>27855090.676666617</v>
      </c>
      <c r="H35" s="224">
        <f>323146573.78+7790530.33</f>
        <v>330937104.10999995</v>
      </c>
      <c r="I35" s="220">
        <f>I28*8</f>
        <v>1790588666.6666667</v>
      </c>
      <c r="J35" s="221">
        <f>SUM(H28+H29+H30+H31+H32+H33+H34+H35)-I35</f>
        <v>-21394546.596666813</v>
      </c>
      <c r="K35" s="180">
        <f t="shared" si="0"/>
        <v>476109328.05999994</v>
      </c>
      <c r="L35" s="220">
        <f>L28*8</f>
        <v>3607660666.6666665</v>
      </c>
      <c r="M35" s="221">
        <f>SUM(K28+K29+K30+K31+K32+K33+K34+K35)-L35</f>
        <v>-32446525.916666508</v>
      </c>
      <c r="N35" s="225">
        <f>M35/L40</f>
        <v>-5.9958569489751545E-3</v>
      </c>
    </row>
    <row r="36" spans="1:14" ht="12.75" customHeight="1" x14ac:dyDescent="0.25">
      <c r="A36" s="175" t="s">
        <v>15</v>
      </c>
      <c r="B36" s="136">
        <f>10257002.44+3942809.96</f>
        <v>14199812.399999999</v>
      </c>
      <c r="C36" s="163">
        <f>C28*9</f>
        <v>107460000</v>
      </c>
      <c r="D36" s="164">
        <f>SUM(B28+B29+B30+B31+B32+B33+B34+B35+B36)-C36</f>
        <v>5531910.7399999797</v>
      </c>
      <c r="E36" s="179">
        <f>195742041.92</f>
        <v>195742041.91999999</v>
      </c>
      <c r="F36" s="163">
        <f>F28*9</f>
        <v>930264000</v>
      </c>
      <c r="G36" s="164">
        <f>SUM(E28+E29+E30+E31+E32+E33+E34+E35+E36)-F36</f>
        <v>120234465.92999995</v>
      </c>
      <c r="H36" s="139">
        <f>181583877.93</f>
        <v>181583877.93000001</v>
      </c>
      <c r="I36" s="163">
        <f>I28*9</f>
        <v>2014412250</v>
      </c>
      <c r="J36" s="164">
        <f>SUM(H28+H29+H30+H31+H32+H33+H34+H35+H36)-I36</f>
        <v>-63634252</v>
      </c>
      <c r="K36" s="180">
        <f t="shared" si="0"/>
        <v>503305391.38999999</v>
      </c>
      <c r="L36" s="163">
        <f>L28*9</f>
        <v>4058618250</v>
      </c>
      <c r="M36" s="164">
        <f>SUM(K28+K29+K30+K31+K32+K33+K34+K35+K36)-L36</f>
        <v>19901282.139999866</v>
      </c>
      <c r="N36" s="178">
        <f>M36/L40</f>
        <v>3.6775968286743648E-3</v>
      </c>
    </row>
    <row r="37" spans="1:14" s="161" customFormat="1" ht="12.75" customHeight="1" x14ac:dyDescent="0.2">
      <c r="A37" s="175" t="s">
        <v>16</v>
      </c>
      <c r="B37" s="136">
        <f>6863169.66+4945828.52</f>
        <v>11808998.18</v>
      </c>
      <c r="C37" s="163">
        <f>C28*10</f>
        <v>119400000</v>
      </c>
      <c r="D37" s="164">
        <f>SUM(B28+B29+B30+B31+B32+B33+B34+B35+B36+B37)-C37</f>
        <v>5400908.9199999869</v>
      </c>
      <c r="E37" s="176">
        <f>45361561.77+6829635.66</f>
        <v>52191197.430000007</v>
      </c>
      <c r="F37" s="163">
        <f>F28*10</f>
        <v>1033626666.6666667</v>
      </c>
      <c r="G37" s="164">
        <f>SUM(E28+E29+E30+E31+E32+E33+E34+E35+E36+E37)-F37</f>
        <v>69062996.693333149</v>
      </c>
      <c r="H37" s="139">
        <f>155617000.66+21905252.78</f>
        <v>177522253.44</v>
      </c>
      <c r="I37" s="163">
        <f>I28*10</f>
        <v>2238235833.3333335</v>
      </c>
      <c r="J37" s="164">
        <f>SUM(H28+H29+H30+H31+H32+H33+H34+H35+H36+H37)-I37</f>
        <v>-109935581.89333344</v>
      </c>
      <c r="K37" s="180">
        <f t="shared" si="0"/>
        <v>364409385.33000004</v>
      </c>
      <c r="L37" s="163">
        <f>L28*10</f>
        <v>4509575833.333333</v>
      </c>
      <c r="M37" s="164">
        <f>SUM(K28+K29+K30+K31+K32+K33+K34+K35+K36+K37)-L37</f>
        <v>-66646915.863332748</v>
      </c>
      <c r="N37" s="178">
        <f>M37/L40</f>
        <v>-1.2315813860419014E-2</v>
      </c>
    </row>
    <row r="38" spans="1:14" ht="12.75" customHeight="1" x14ac:dyDescent="0.25">
      <c r="A38" s="175" t="s">
        <v>17</v>
      </c>
      <c r="B38" s="136">
        <f>7036198.8+4318170.07</f>
        <v>11354368.870000001</v>
      </c>
      <c r="C38" s="163">
        <f>C28*11</f>
        <v>131340000</v>
      </c>
      <c r="D38" s="164">
        <f>SUM(B28+B29+B30+B31+B32+B33+B34+B35+B36+B37+B38)-C38</f>
        <v>4815277.7899999917</v>
      </c>
      <c r="E38" s="176">
        <f>4123061.3+3312261.06</f>
        <v>7435322.3599999994</v>
      </c>
      <c r="F38" s="163">
        <f>F28*11</f>
        <v>1136989333.3333335</v>
      </c>
      <c r="G38" s="164">
        <f>SUM(E28+E29+E30+E31+E32+E33+E34+E35+E36+E37+E38)-F38</f>
        <v>-26864347.613333702</v>
      </c>
      <c r="H38" s="139">
        <f>324735243.97+14529043.36</f>
        <v>339264287.33000004</v>
      </c>
      <c r="I38" s="163">
        <f>I28*11</f>
        <v>2462059416.666667</v>
      </c>
      <c r="J38" s="164">
        <f>SUM(H28+H29+H30+H31+H32+H33+H34+H35+H36+H37+H38)-I38</f>
        <v>5505122.1033329964</v>
      </c>
      <c r="K38" s="180">
        <f t="shared" si="0"/>
        <v>467239453.31000006</v>
      </c>
      <c r="L38" s="163">
        <f>L28*11</f>
        <v>4960533416.666666</v>
      </c>
      <c r="M38" s="164">
        <f>SUM(K28+K29+K30+K31+K32+K33+K34+K35+K36+K37+K38)-L38</f>
        <v>-50365045.886665344</v>
      </c>
      <c r="N38" s="178">
        <f>M38/L40</f>
        <v>-9.3070552804514223E-3</v>
      </c>
    </row>
    <row r="39" spans="1:14" ht="12.75" customHeight="1" thickBot="1" x14ac:dyDescent="0.3">
      <c r="A39" s="238" t="s">
        <v>18</v>
      </c>
      <c r="B39" s="233">
        <f>5300747.49+5834133.44</f>
        <v>11134880.93</v>
      </c>
      <c r="C39" s="229">
        <f>C28*12</f>
        <v>143280000</v>
      </c>
      <c r="D39" s="164">
        <f>SUM(B28+B29+B30+B31+B32+B33+B34+B35+B36+B37+B38+B39)-C39</f>
        <v>4010158.7199999988</v>
      </c>
      <c r="E39" s="234">
        <f>6041293.41+233951122.94</f>
        <v>239992416.34999999</v>
      </c>
      <c r="F39" s="229">
        <f>F28*12</f>
        <v>1240352000</v>
      </c>
      <c r="G39" s="235">
        <f>SUM(E28+E29+E30+E31+E32+E33+E34+E35+E36+E37+E38+E39)-F39</f>
        <v>109765402.06999969</v>
      </c>
      <c r="H39" s="236">
        <f>220674960.61+10306008.61</f>
        <v>230980969.22000003</v>
      </c>
      <c r="I39" s="229">
        <f>I28*12</f>
        <v>2685883000</v>
      </c>
      <c r="J39" s="164">
        <f>SUM(H28+H29+H30+H31+H32+H33+H34+H35+H36+H37+H38+H39)-I39</f>
        <v>12662507.989999771</v>
      </c>
      <c r="K39" s="181">
        <f t="shared" si="0"/>
        <v>648552023.23000002</v>
      </c>
      <c r="L39" s="231">
        <f>L28*12</f>
        <v>5411491000</v>
      </c>
      <c r="M39" s="232">
        <f>SUM(K28+K29+K30+K31+K32+K33+K34+K35+K36+K37+K38+K39)-L39</f>
        <v>147229394.01000023</v>
      </c>
      <c r="N39" s="178">
        <f>M39/L40</f>
        <v>2.7206807515710592E-2</v>
      </c>
    </row>
    <row r="40" spans="1:14" ht="12.75" customHeight="1" thickBot="1" x14ac:dyDescent="0.3">
      <c r="A40" s="166" t="s">
        <v>19</v>
      </c>
      <c r="B40" s="216">
        <f>SUM(B28:B39)</f>
        <v>147290158.72</v>
      </c>
      <c r="C40" s="167">
        <v>143280000</v>
      </c>
      <c r="D40" s="182"/>
      <c r="E40" s="218">
        <f>SUM(E28:E39)</f>
        <v>1350117402.0699997</v>
      </c>
      <c r="F40" s="183">
        <v>1240352000</v>
      </c>
      <c r="G40" s="184"/>
      <c r="H40" s="216">
        <f>SUM(H28:H39)</f>
        <v>2698545507.9899998</v>
      </c>
      <c r="I40" s="167">
        <v>2685883000</v>
      </c>
      <c r="J40" s="185"/>
      <c r="K40" s="217">
        <f t="shared" si="0"/>
        <v>5558720394.0099993</v>
      </c>
      <c r="L40" s="186">
        <f>SUM(F20+I20+L20+O20+F40+I40+C20+C40)</f>
        <v>5411491000</v>
      </c>
      <c r="M40" s="187"/>
      <c r="N40" s="188"/>
    </row>
    <row r="41" spans="1:14" x14ac:dyDescent="0.25">
      <c r="A41" s="172"/>
      <c r="B41" s="158"/>
      <c r="C41" s="158"/>
      <c r="D41" s="158"/>
      <c r="E41" s="158"/>
      <c r="F41" s="158"/>
      <c r="G41" s="158"/>
      <c r="H41" s="156"/>
      <c r="I41" s="158"/>
      <c r="J41" s="158"/>
      <c r="K41" s="158"/>
      <c r="L41" s="158"/>
      <c r="M41" s="158"/>
    </row>
    <row r="42" spans="1:14" x14ac:dyDescent="0.25">
      <c r="A42" s="625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</row>
    <row r="43" spans="1:14" x14ac:dyDescent="0.25">
      <c r="K43" s="189"/>
      <c r="L43" s="190"/>
    </row>
    <row r="44" spans="1:14" x14ac:dyDescent="0.25">
      <c r="K44" s="189"/>
    </row>
    <row r="45" spans="1:14" x14ac:dyDescent="0.25">
      <c r="K45" s="189"/>
    </row>
    <row r="46" spans="1:14" x14ac:dyDescent="0.25">
      <c r="K46" s="189"/>
    </row>
    <row r="48" spans="1:14" x14ac:dyDescent="0.25">
      <c r="K48" s="191"/>
    </row>
  </sheetData>
  <mergeCells count="38"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  <mergeCell ref="B24:D25"/>
    <mergeCell ref="E24:G25"/>
    <mergeCell ref="H24:J25"/>
    <mergeCell ref="K24:M25"/>
    <mergeCell ref="B26:B27"/>
    <mergeCell ref="C26:C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499984740745262"/>
  </sheetPr>
  <dimension ref="A1:S49"/>
  <sheetViews>
    <sheetView showGridLines="0" zoomScaleNormal="100" workbookViewId="0">
      <selection activeCell="J78" sqref="J78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61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20.25" x14ac:dyDescent="0.3">
      <c r="B2" s="587" t="s">
        <v>69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92"/>
      <c r="P2" s="592"/>
      <c r="Q2" s="592"/>
      <c r="R2" s="592"/>
      <c r="S2" s="592"/>
    </row>
    <row r="3" spans="1:19" ht="12.75" customHeight="1" x14ac:dyDescent="0.25">
      <c r="A3" s="59"/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60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  <row r="49" spans="2:19" ht="20.25" x14ac:dyDescent="0.3">
      <c r="B49" s="587" t="s">
        <v>69</v>
      </c>
      <c r="C49" s="586"/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92"/>
      <c r="P49" s="592"/>
      <c r="Q49" s="592"/>
      <c r="R49" s="592"/>
      <c r="S49" s="592"/>
    </row>
  </sheetData>
  <mergeCells count="4">
    <mergeCell ref="B1:S1"/>
    <mergeCell ref="B2:S2"/>
    <mergeCell ref="B48:S48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499984740745262"/>
    <pageSetUpPr fitToPage="1"/>
  </sheetPr>
  <dimension ref="A1:N48"/>
  <sheetViews>
    <sheetView showGridLines="0" topLeftCell="B3" zoomScale="120" zoomScaleNormal="120" workbookViewId="0">
      <selection activeCell="K19" sqref="K19"/>
    </sheetView>
  </sheetViews>
  <sheetFormatPr defaultColWidth="9.140625" defaultRowHeight="12.75" x14ac:dyDescent="0.2"/>
  <cols>
    <col min="1" max="1" width="8.7109375" style="66" customWidth="1"/>
    <col min="2" max="7" width="12.5703125" style="66" customWidth="1"/>
    <col min="8" max="8" width="13.5703125" style="66" bestFit="1" customWidth="1"/>
    <col min="9" max="10" width="12.5703125" style="66" customWidth="1"/>
    <col min="11" max="11" width="13.5703125" style="66" bestFit="1" customWidth="1"/>
    <col min="12" max="13" width="12.570312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85" t="s">
        <v>62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20.25" x14ac:dyDescent="0.3">
      <c r="A2" s="587" t="s">
        <v>69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</row>
    <row r="3" spans="1:14" ht="13.5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x14ac:dyDescent="0.2">
      <c r="A4" s="567" t="s">
        <v>2</v>
      </c>
      <c r="B4" s="588" t="s">
        <v>27</v>
      </c>
      <c r="C4" s="571"/>
      <c r="D4" s="572"/>
      <c r="E4" s="589" t="s">
        <v>28</v>
      </c>
      <c r="F4" s="571"/>
      <c r="G4" s="572"/>
      <c r="H4" s="590" t="s">
        <v>29</v>
      </c>
      <c r="I4" s="571"/>
      <c r="J4" s="572"/>
      <c r="K4" s="591" t="s">
        <v>30</v>
      </c>
      <c r="L4" s="571"/>
      <c r="M4" s="572"/>
      <c r="N4" s="73"/>
    </row>
    <row r="5" spans="1:14" ht="13.5" thickBot="1" x14ac:dyDescent="0.25">
      <c r="A5" s="568"/>
      <c r="B5" s="573"/>
      <c r="C5" s="574"/>
      <c r="D5" s="575"/>
      <c r="E5" s="573"/>
      <c r="F5" s="574"/>
      <c r="G5" s="575"/>
      <c r="H5" s="573"/>
      <c r="I5" s="574"/>
      <c r="J5" s="575"/>
      <c r="K5" s="573"/>
      <c r="L5" s="574"/>
      <c r="M5" s="575"/>
      <c r="N5" s="71"/>
    </row>
    <row r="6" spans="1:14" x14ac:dyDescent="0.2">
      <c r="A6" s="568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55" t="s">
        <v>5</v>
      </c>
      <c r="I6" s="557" t="s">
        <v>31</v>
      </c>
      <c r="J6" s="559" t="s">
        <v>32</v>
      </c>
      <c r="K6" s="584" t="s">
        <v>6</v>
      </c>
      <c r="L6" s="557" t="s">
        <v>31</v>
      </c>
      <c r="M6" s="559" t="s">
        <v>32</v>
      </c>
    </row>
    <row r="7" spans="1:14" ht="13.5" thickBot="1" x14ac:dyDescent="0.25">
      <c r="A7" s="569"/>
      <c r="B7" s="556"/>
      <c r="C7" s="558"/>
      <c r="D7" s="560"/>
      <c r="E7" s="556"/>
      <c r="F7" s="558"/>
      <c r="G7" s="560"/>
      <c r="H7" s="556"/>
      <c r="I7" s="558"/>
      <c r="J7" s="560"/>
      <c r="K7" s="556"/>
      <c r="L7" s="558"/>
      <c r="M7" s="560"/>
    </row>
    <row r="8" spans="1:14" x14ac:dyDescent="0.2">
      <c r="A8" s="74" t="s">
        <v>7</v>
      </c>
      <c r="B8" s="75">
        <f>47595748.2+71009068.17</f>
        <v>118604816.37</v>
      </c>
      <c r="C8" s="76">
        <f>C20/12</f>
        <v>99949000</v>
      </c>
      <c r="D8" s="77">
        <f>B8-C8</f>
        <v>18655816.370000005</v>
      </c>
      <c r="E8" s="78">
        <f>3308819.34+5082485.48</f>
        <v>8391304.8200000003</v>
      </c>
      <c r="F8" s="76">
        <f>F20/12</f>
        <v>7084750</v>
      </c>
      <c r="G8" s="77">
        <f>E8-F8</f>
        <v>1306554.8200000003</v>
      </c>
      <c r="H8" s="78">
        <f>10093537.17+1347+64.2</f>
        <v>10094948.369999999</v>
      </c>
      <c r="I8" s="76">
        <f>I20/12</f>
        <v>3887416.6666666665</v>
      </c>
      <c r="J8" s="79">
        <f>H8-I8</f>
        <v>6207531.7033333331</v>
      </c>
      <c r="K8" s="78">
        <f>674175.99</f>
        <v>674175.99</v>
      </c>
      <c r="L8" s="76">
        <f>L20/12</f>
        <v>910166.66666666663</v>
      </c>
      <c r="M8" s="79">
        <f>K8-L8</f>
        <v>-235990.67666666664</v>
      </c>
    </row>
    <row r="9" spans="1:14" x14ac:dyDescent="0.2">
      <c r="A9" s="80" t="s">
        <v>8</v>
      </c>
      <c r="B9" s="81">
        <f>45179875.64+55975067.95+B8</f>
        <v>219759759.96000001</v>
      </c>
      <c r="C9" s="82">
        <f>C8*2</f>
        <v>199898000</v>
      </c>
      <c r="D9" s="77">
        <f>B9-C9</f>
        <v>19861759.960000008</v>
      </c>
      <c r="E9" s="75">
        <f>3210389+3891343.12+E8</f>
        <v>15493036.940000001</v>
      </c>
      <c r="F9" s="82">
        <f>F8*2</f>
        <v>14169500</v>
      </c>
      <c r="G9" s="77">
        <f>E9-F9</f>
        <v>1323536.9400000013</v>
      </c>
      <c r="H9" s="75">
        <f>5213.7+1508.66+H8</f>
        <v>10101670.729999999</v>
      </c>
      <c r="I9" s="82">
        <f>I8*2</f>
        <v>7774833.333333333</v>
      </c>
      <c r="J9" s="77">
        <f>H9-I9</f>
        <v>2326837.3966666656</v>
      </c>
      <c r="K9" s="81">
        <f>0+K8</f>
        <v>674175.99</v>
      </c>
      <c r="L9" s="82">
        <f>L8*2</f>
        <v>1820333.3333333333</v>
      </c>
      <c r="M9" s="77">
        <f>K9-L9</f>
        <v>-1146157.3433333333</v>
      </c>
    </row>
    <row r="10" spans="1:14" x14ac:dyDescent="0.2">
      <c r="A10" s="80" t="s">
        <v>9</v>
      </c>
      <c r="B10" s="81">
        <f>42994711.49+43297143.64+B9</f>
        <v>306051615.09000003</v>
      </c>
      <c r="C10" s="82">
        <f>C8*3</f>
        <v>299847000</v>
      </c>
      <c r="D10" s="77">
        <f t="shared" ref="D10:D19" si="0">B10-C10</f>
        <v>6204615.0900000334</v>
      </c>
      <c r="E10" s="75">
        <f>2988958.85+3009983.69+E9</f>
        <v>21491979.48</v>
      </c>
      <c r="F10" s="83">
        <f>F8*3</f>
        <v>21254250</v>
      </c>
      <c r="G10" s="77">
        <f t="shared" ref="G10:G19" si="1">E10-F10</f>
        <v>237729.48000000045</v>
      </c>
      <c r="H10" s="75">
        <f>11147.7+H9</f>
        <v>10112818.429999998</v>
      </c>
      <c r="I10" s="83">
        <f>I8*3</f>
        <v>11662250</v>
      </c>
      <c r="J10" s="77">
        <f t="shared" ref="J10:J19" si="2">H10-I10</f>
        <v>-1549431.5700000022</v>
      </c>
      <c r="K10" s="81">
        <f>2471889.61+K9</f>
        <v>3146065.5999999996</v>
      </c>
      <c r="L10" s="83">
        <f>L8*3</f>
        <v>2730500</v>
      </c>
      <c r="M10" s="77">
        <f t="shared" ref="M10:M19" si="3">K10-L10</f>
        <v>415565.59999999963</v>
      </c>
    </row>
    <row r="11" spans="1:14" x14ac:dyDescent="0.2">
      <c r="A11" s="80" t="s">
        <v>10</v>
      </c>
      <c r="B11" s="81">
        <f>32400096.88+32292572.99+B10</f>
        <v>370744284.96000004</v>
      </c>
      <c r="C11" s="82">
        <f>C8*4</f>
        <v>399796000</v>
      </c>
      <c r="D11" s="77">
        <f t="shared" si="0"/>
        <v>-29051715.039999962</v>
      </c>
      <c r="E11" s="75">
        <f>2252429.49+2940146.75+E10</f>
        <v>26684555.719999999</v>
      </c>
      <c r="F11" s="82">
        <f>F8*4</f>
        <v>28339000</v>
      </c>
      <c r="G11" s="77">
        <f t="shared" si="1"/>
        <v>-1654444.2800000012</v>
      </c>
      <c r="H11" s="75">
        <f>509.7+10575.28+2512.2+H10</f>
        <v>10126415.609999998</v>
      </c>
      <c r="I11" s="82">
        <f>I8*4</f>
        <v>15549666.666666666</v>
      </c>
      <c r="J11" s="77">
        <f t="shared" si="2"/>
        <v>-5423251.0566666685</v>
      </c>
      <c r="K11" s="81">
        <f t="shared" ref="K11:K15" si="4">0+K10</f>
        <v>3146065.5999999996</v>
      </c>
      <c r="L11" s="82">
        <f>L8*4</f>
        <v>3640666.6666666665</v>
      </c>
      <c r="M11" s="77">
        <f t="shared" si="3"/>
        <v>-494601.06666666688</v>
      </c>
    </row>
    <row r="12" spans="1:14" x14ac:dyDescent="0.2">
      <c r="A12" s="80" t="s">
        <v>11</v>
      </c>
      <c r="B12" s="81">
        <f>23573007.17+53866583.6+B11</f>
        <v>448183875.73000002</v>
      </c>
      <c r="C12" s="82">
        <f>C8*5</f>
        <v>499745000</v>
      </c>
      <c r="D12" s="77">
        <f t="shared" si="0"/>
        <v>-51561124.269999981</v>
      </c>
      <c r="E12" s="75">
        <f>1638777.08+4439955.14+E11</f>
        <v>32763287.939999998</v>
      </c>
      <c r="F12" s="82">
        <f>F8*5</f>
        <v>35423750</v>
      </c>
      <c r="G12" s="77">
        <f t="shared" si="1"/>
        <v>-2660462.0600000024</v>
      </c>
      <c r="H12" s="75">
        <f>2339.7+H11</f>
        <v>10128755.309999997</v>
      </c>
      <c r="I12" s="82">
        <f>I8*5</f>
        <v>19437083.333333332</v>
      </c>
      <c r="J12" s="77">
        <f t="shared" si="2"/>
        <v>-9308328.0233333353</v>
      </c>
      <c r="K12" s="81">
        <f t="shared" si="4"/>
        <v>3146065.5999999996</v>
      </c>
      <c r="L12" s="82">
        <f>L8*5</f>
        <v>4550833.333333333</v>
      </c>
      <c r="M12" s="77">
        <f t="shared" si="3"/>
        <v>-1404767.7333333334</v>
      </c>
    </row>
    <row r="13" spans="1:14" x14ac:dyDescent="0.2">
      <c r="A13" s="80" t="s">
        <v>12</v>
      </c>
      <c r="B13" s="81">
        <f>38292265.83+56028362.96+B12</f>
        <v>542504504.51999998</v>
      </c>
      <c r="C13" s="82">
        <f>C8*6</f>
        <v>599694000</v>
      </c>
      <c r="D13" s="77">
        <f t="shared" si="0"/>
        <v>-57189495.480000019</v>
      </c>
      <c r="E13" s="75">
        <f>2662048.51+4590240.36+E12</f>
        <v>40015576.809999995</v>
      </c>
      <c r="F13" s="82">
        <f>F8*6</f>
        <v>42508500</v>
      </c>
      <c r="G13" s="77">
        <f t="shared" si="1"/>
        <v>-2492923.1900000051</v>
      </c>
      <c r="H13" s="75">
        <f>5455.8+4594.5+7182+5001.86+H12</f>
        <v>10150989.469999997</v>
      </c>
      <c r="I13" s="82">
        <f>I8*6</f>
        <v>23324500</v>
      </c>
      <c r="J13" s="77">
        <f t="shared" si="2"/>
        <v>-13173510.530000003</v>
      </c>
      <c r="K13" s="81">
        <f t="shared" si="4"/>
        <v>3146065.5999999996</v>
      </c>
      <c r="L13" s="82">
        <f>L8*6</f>
        <v>5461000</v>
      </c>
      <c r="M13" s="77">
        <f t="shared" si="3"/>
        <v>-2314934.4000000004</v>
      </c>
    </row>
    <row r="14" spans="1:14" x14ac:dyDescent="0.2">
      <c r="A14" s="80" t="s">
        <v>13</v>
      </c>
      <c r="B14" s="81">
        <f>43500082.87+70021894.8+B13</f>
        <v>656026482.18999994</v>
      </c>
      <c r="C14" s="82">
        <f>C8*7</f>
        <v>699643000</v>
      </c>
      <c r="D14" s="77">
        <f t="shared" si="0"/>
        <v>-43616517.810000062</v>
      </c>
      <c r="E14" s="75">
        <f>3024091.88+4867867.57+E13</f>
        <v>47907536.259999998</v>
      </c>
      <c r="F14" s="82">
        <f>F8*7</f>
        <v>49593250</v>
      </c>
      <c r="G14" s="77">
        <f t="shared" si="1"/>
        <v>-1685713.7400000021</v>
      </c>
      <c r="H14" s="75">
        <f>8115.6+19514.68+38270.4+724.5+H13</f>
        <v>10217614.649999997</v>
      </c>
      <c r="I14" s="82">
        <f>I8*7</f>
        <v>27211916.666666664</v>
      </c>
      <c r="J14" s="77">
        <f t="shared" si="2"/>
        <v>-16994302.016666666</v>
      </c>
      <c r="K14" s="81">
        <f>4006693.6+K13</f>
        <v>7152759.1999999993</v>
      </c>
      <c r="L14" s="82">
        <f>L8*7</f>
        <v>6371166.666666666</v>
      </c>
      <c r="M14" s="77">
        <f t="shared" si="3"/>
        <v>781592.53333333321</v>
      </c>
    </row>
    <row r="15" spans="1:14" x14ac:dyDescent="0.2">
      <c r="A15" s="80" t="s">
        <v>14</v>
      </c>
      <c r="B15" s="81">
        <f>39807151.44+63443850.87+B14</f>
        <v>759277484.5</v>
      </c>
      <c r="C15" s="82">
        <f>C8*8</f>
        <v>799592000</v>
      </c>
      <c r="D15" s="77">
        <f t="shared" si="0"/>
        <v>-40314515.5</v>
      </c>
      <c r="E15" s="75">
        <f>2767362.19+4410567.09+E14</f>
        <v>55085465.539999999</v>
      </c>
      <c r="F15" s="82">
        <f>F8*8</f>
        <v>56678000</v>
      </c>
      <c r="G15" s="77">
        <f t="shared" si="1"/>
        <v>-1592534.4600000009</v>
      </c>
      <c r="H15" s="75">
        <f>20262627.42+2418.6+473128.42+H14</f>
        <v>30955789.090000004</v>
      </c>
      <c r="I15" s="82">
        <f>I8*8</f>
        <v>31099333.333333332</v>
      </c>
      <c r="J15" s="77">
        <f t="shared" si="2"/>
        <v>-143544.24333332852</v>
      </c>
      <c r="K15" s="81">
        <f t="shared" si="4"/>
        <v>7152759.1999999993</v>
      </c>
      <c r="L15" s="82">
        <f>L8*8</f>
        <v>7281333.333333333</v>
      </c>
      <c r="M15" s="77">
        <f t="shared" si="3"/>
        <v>-128574.13333333377</v>
      </c>
    </row>
    <row r="16" spans="1:14" x14ac:dyDescent="0.2">
      <c r="A16" s="80" t="s">
        <v>15</v>
      </c>
      <c r="B16" s="81">
        <f>46822617.79+52506607.35+B15</f>
        <v>858606709.63999999</v>
      </c>
      <c r="C16" s="82">
        <f>C8*9</f>
        <v>899541000</v>
      </c>
      <c r="D16" s="77">
        <f t="shared" si="0"/>
        <v>-40934290.360000014</v>
      </c>
      <c r="E16" s="75">
        <f>3255071.91+2433983.9+E15</f>
        <v>60774521.350000001</v>
      </c>
      <c r="F16" s="82">
        <f>F8*9</f>
        <v>63762750</v>
      </c>
      <c r="G16" s="77">
        <f t="shared" si="1"/>
        <v>-2988228.6499999985</v>
      </c>
      <c r="H16" s="75">
        <f>1479575.93+216.64+240.52+H15</f>
        <v>32435822.180000003</v>
      </c>
      <c r="I16" s="82">
        <f>I8*9</f>
        <v>34986750</v>
      </c>
      <c r="J16" s="77">
        <f t="shared" si="2"/>
        <v>-2550927.8199999966</v>
      </c>
      <c r="K16" s="81">
        <f>5281345.1+K15</f>
        <v>12434104.299999999</v>
      </c>
      <c r="L16" s="82">
        <f>L8*9</f>
        <v>8191500</v>
      </c>
      <c r="M16" s="77">
        <f t="shared" si="3"/>
        <v>4242604.2999999989</v>
      </c>
    </row>
    <row r="17" spans="1:14" x14ac:dyDescent="0.2">
      <c r="A17" s="80" t="s">
        <v>16</v>
      </c>
      <c r="B17" s="81">
        <f>39527312.97+64077845.55+B16</f>
        <v>962211868.15999997</v>
      </c>
      <c r="C17" s="82">
        <f>C8*10</f>
        <v>999490000</v>
      </c>
      <c r="D17" s="77">
        <f t="shared" si="0"/>
        <v>-37278131.840000033</v>
      </c>
      <c r="E17" s="75">
        <f>2690955.21+4362315.57+E16</f>
        <v>67827792.129999995</v>
      </c>
      <c r="F17" s="82">
        <f>F8*10</f>
        <v>70847500</v>
      </c>
      <c r="G17" s="77">
        <f t="shared" si="1"/>
        <v>-3019707.8700000048</v>
      </c>
      <c r="H17" s="75">
        <f>8089626.13+3473.56+1283991.23+H16</f>
        <v>41812913.100000001</v>
      </c>
      <c r="I17" s="82">
        <f>I8*10</f>
        <v>38874166.666666664</v>
      </c>
      <c r="J17" s="77">
        <f t="shared" si="2"/>
        <v>2938746.4333333373</v>
      </c>
      <c r="K17" s="81">
        <f>2142524.33+708891.73+K16</f>
        <v>15285520.359999999</v>
      </c>
      <c r="L17" s="82">
        <f>L8*10</f>
        <v>9101666.666666666</v>
      </c>
      <c r="M17" s="77">
        <f t="shared" si="3"/>
        <v>6183853.6933333334</v>
      </c>
    </row>
    <row r="18" spans="1:14" x14ac:dyDescent="0.2">
      <c r="A18" s="80" t="s">
        <v>17</v>
      </c>
      <c r="B18" s="81">
        <f>40149188.89+60530361.17+B17</f>
        <v>1062891418.22</v>
      </c>
      <c r="C18" s="82">
        <f>C8*11</f>
        <v>1099439000</v>
      </c>
      <c r="D18" s="77">
        <f t="shared" si="0"/>
        <v>-36547581.779999971</v>
      </c>
      <c r="E18" s="75">
        <f>2733291.53+4120808.59+E17</f>
        <v>74681892.25</v>
      </c>
      <c r="F18" s="82">
        <f>F8*11</f>
        <v>77932250</v>
      </c>
      <c r="G18" s="77">
        <f t="shared" si="1"/>
        <v>-3250357.75</v>
      </c>
      <c r="H18" s="75">
        <f>873.6+762.76+579.6+643.51+3600+H17</f>
        <v>41819372.57</v>
      </c>
      <c r="I18" s="82">
        <f>I8*11</f>
        <v>42761583.333333328</v>
      </c>
      <c r="J18" s="77">
        <f t="shared" si="2"/>
        <v>-942210.76333332807</v>
      </c>
      <c r="K18" s="81">
        <f>798997.61+846367.49+K17</f>
        <v>16930885.460000001</v>
      </c>
      <c r="L18" s="82">
        <f>L8*11</f>
        <v>10011833.333333332</v>
      </c>
      <c r="M18" s="77">
        <f t="shared" si="3"/>
        <v>6919052.1266666688</v>
      </c>
    </row>
    <row r="19" spans="1:14" ht="13.5" thickBot="1" x14ac:dyDescent="0.25">
      <c r="A19" s="150" t="s">
        <v>18</v>
      </c>
      <c r="B19" s="140">
        <f>48522972.32+83381805.4+B18</f>
        <v>1194796195.9400001</v>
      </c>
      <c r="C19" s="141">
        <f>C8*12</f>
        <v>1199388000</v>
      </c>
      <c r="D19" s="77">
        <f t="shared" si="0"/>
        <v>-4591804.0599999428</v>
      </c>
      <c r="E19" s="142">
        <f>3303365.05+5676497.78+E18</f>
        <v>83661755.079999998</v>
      </c>
      <c r="F19" s="141">
        <f>F8*12</f>
        <v>85017000</v>
      </c>
      <c r="G19" s="77">
        <f t="shared" si="1"/>
        <v>-1355244.9200000018</v>
      </c>
      <c r="H19" s="142">
        <f>973.5+1502972.62+3623.37+36.3+12276964+472.5+H18</f>
        <v>55604414.859999999</v>
      </c>
      <c r="I19" s="141">
        <f>I8*12</f>
        <v>46649000</v>
      </c>
      <c r="J19" s="77">
        <f t="shared" si="2"/>
        <v>8955414.8599999994</v>
      </c>
      <c r="K19" s="140">
        <f>706329.32+11067744.57+K18</f>
        <v>28704959.350000001</v>
      </c>
      <c r="L19" s="141">
        <f>L8*12</f>
        <v>10922000</v>
      </c>
      <c r="M19" s="77">
        <f t="shared" si="3"/>
        <v>17782959.350000001</v>
      </c>
    </row>
    <row r="20" spans="1:14" ht="13.5" thickBot="1" x14ac:dyDescent="0.25">
      <c r="A20" s="86" t="s">
        <v>19</v>
      </c>
      <c r="B20" s="129">
        <f>B19</f>
        <v>1194796195.9400001</v>
      </c>
      <c r="C20" s="87">
        <v>1199388000</v>
      </c>
      <c r="D20" s="88"/>
      <c r="E20" s="129">
        <f>E19</f>
        <v>83661755.079999998</v>
      </c>
      <c r="F20" s="87">
        <v>85017000</v>
      </c>
      <c r="G20" s="89"/>
      <c r="H20" s="129">
        <f>H19</f>
        <v>55604414.859999999</v>
      </c>
      <c r="I20" s="87">
        <v>46649000</v>
      </c>
      <c r="J20" s="89"/>
      <c r="K20" s="129">
        <f>K19</f>
        <v>28704959.350000001</v>
      </c>
      <c r="L20" s="87">
        <v>10922000</v>
      </c>
      <c r="M20" s="89"/>
    </row>
    <row r="21" spans="1:14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4" x14ac:dyDescent="0.2">
      <c r="A22" s="71"/>
      <c r="B22" s="73"/>
      <c r="C22" s="73"/>
      <c r="D22" s="73"/>
      <c r="E22" s="90"/>
      <c r="F22" s="73"/>
      <c r="G22" s="73"/>
      <c r="H22" s="71"/>
      <c r="I22" s="73"/>
      <c r="J22" s="91"/>
      <c r="K22" s="71"/>
      <c r="L22" s="73"/>
      <c r="M22" s="71"/>
    </row>
    <row r="23" spans="1:14" ht="13.5" thickBot="1" x14ac:dyDescent="0.25">
      <c r="A23" s="92"/>
      <c r="B23" s="73"/>
      <c r="C23" s="93"/>
      <c r="D23" s="73"/>
      <c r="E23" s="73"/>
      <c r="F23" s="73"/>
      <c r="G23" s="73"/>
      <c r="M23" s="135" t="s">
        <v>26</v>
      </c>
    </row>
    <row r="24" spans="1:14" x14ac:dyDescent="0.2">
      <c r="A24" s="567" t="s">
        <v>2</v>
      </c>
      <c r="B24" s="570" t="s">
        <v>36</v>
      </c>
      <c r="C24" s="571"/>
      <c r="D24" s="572"/>
      <c r="E24" s="576" t="s">
        <v>20</v>
      </c>
      <c r="F24" s="577"/>
      <c r="G24" s="578"/>
      <c r="H24" s="582" t="s">
        <v>21</v>
      </c>
      <c r="I24" s="577"/>
      <c r="J24" s="578"/>
      <c r="K24" s="583" t="s">
        <v>22</v>
      </c>
      <c r="L24" s="577"/>
      <c r="M24" s="578"/>
    </row>
    <row r="25" spans="1:14" ht="13.5" thickBot="1" x14ac:dyDescent="0.25">
      <c r="A25" s="568"/>
      <c r="B25" s="573"/>
      <c r="C25" s="574"/>
      <c r="D25" s="575"/>
      <c r="E25" s="579"/>
      <c r="F25" s="580"/>
      <c r="G25" s="581"/>
      <c r="H25" s="579"/>
      <c r="I25" s="580"/>
      <c r="J25" s="581"/>
      <c r="K25" s="579"/>
      <c r="L25" s="580"/>
      <c r="M25" s="581"/>
    </row>
    <row r="26" spans="1:14" x14ac:dyDescent="0.2">
      <c r="A26" s="568"/>
      <c r="B26" s="584" t="s">
        <v>23</v>
      </c>
      <c r="C26" s="557" t="s">
        <v>31</v>
      </c>
      <c r="D26" s="559" t="s">
        <v>32</v>
      </c>
      <c r="E26" s="563" t="s">
        <v>24</v>
      </c>
      <c r="F26" s="557" t="s">
        <v>31</v>
      </c>
      <c r="G26" s="559" t="s">
        <v>32</v>
      </c>
      <c r="H26" s="563" t="s">
        <v>25</v>
      </c>
      <c r="I26" s="557" t="s">
        <v>31</v>
      </c>
      <c r="J26" s="559" t="s">
        <v>32</v>
      </c>
      <c r="K26" s="566" t="s">
        <v>19</v>
      </c>
      <c r="L26" s="557" t="s">
        <v>31</v>
      </c>
      <c r="M26" s="559" t="s">
        <v>32</v>
      </c>
      <c r="N26" s="553" t="s">
        <v>37</v>
      </c>
    </row>
    <row r="27" spans="1:14" ht="13.5" thickBot="1" x14ac:dyDescent="0.25">
      <c r="A27" s="569"/>
      <c r="B27" s="556"/>
      <c r="C27" s="558"/>
      <c r="D27" s="560"/>
      <c r="E27" s="564"/>
      <c r="F27" s="558"/>
      <c r="G27" s="560"/>
      <c r="H27" s="564"/>
      <c r="I27" s="565"/>
      <c r="J27" s="560"/>
      <c r="K27" s="556"/>
      <c r="L27" s="558"/>
      <c r="M27" s="560"/>
      <c r="N27" s="554"/>
    </row>
    <row r="28" spans="1:14" x14ac:dyDescent="0.2">
      <c r="A28" s="95" t="s">
        <v>7</v>
      </c>
      <c r="B28" s="78">
        <f>6939986.99+5674910.69</f>
        <v>12614897.68</v>
      </c>
      <c r="C28" s="76">
        <f>C40/12</f>
        <v>11940000</v>
      </c>
      <c r="D28" s="79">
        <f>B28-C28</f>
        <v>674897.6799999997</v>
      </c>
      <c r="E28" s="96">
        <f>36860400.08+2787672.72</f>
        <v>39648072.799999997</v>
      </c>
      <c r="F28" s="76">
        <f>F40/12</f>
        <v>103362666.66666667</v>
      </c>
      <c r="G28" s="79">
        <f>E28-F28</f>
        <v>-63714593.866666675</v>
      </c>
      <c r="H28" s="97">
        <f>203760289.34+14622336.13</f>
        <v>218382625.47</v>
      </c>
      <c r="I28" s="98">
        <f>I40/12</f>
        <v>223823583.33333334</v>
      </c>
      <c r="J28" s="99">
        <f>H28-I28</f>
        <v>-5440957.8633333445</v>
      </c>
      <c r="K28" s="130">
        <f>SUM($B8+$E8+$H8+$K8+$B28+$E28+$H28)</f>
        <v>408410841.5</v>
      </c>
      <c r="L28" s="98">
        <f>L40/12</f>
        <v>450957583.33333331</v>
      </c>
      <c r="M28" s="100">
        <f>K28-L28</f>
        <v>-42546741.833333313</v>
      </c>
      <c r="N28" s="101">
        <f>M28/L40</f>
        <v>-7.8622955916092842E-3</v>
      </c>
    </row>
    <row r="29" spans="1:14" x14ac:dyDescent="0.2">
      <c r="A29" s="102" t="s">
        <v>8</v>
      </c>
      <c r="B29" s="81">
        <f>11448714.74+7385342.01+B28</f>
        <v>31448954.43</v>
      </c>
      <c r="C29" s="82">
        <f>C28*2</f>
        <v>23880000</v>
      </c>
      <c r="D29" s="77">
        <f>B29-C29</f>
        <v>7568954.4299999997</v>
      </c>
      <c r="E29" s="103">
        <f>6172896.11+3928084.08+E28</f>
        <v>49749052.989999995</v>
      </c>
      <c r="F29" s="82">
        <f>F28*2</f>
        <v>206725333.33333334</v>
      </c>
      <c r="G29" s="77">
        <f>E29-F29</f>
        <v>-156976280.34333336</v>
      </c>
      <c r="H29" s="104">
        <f>312447672.69+10328962.24+H28</f>
        <v>541159260.39999998</v>
      </c>
      <c r="I29" s="83">
        <f>I28*2</f>
        <v>447647166.66666669</v>
      </c>
      <c r="J29" s="77">
        <f>H29-I29</f>
        <v>93512093.73333329</v>
      </c>
      <c r="K29" s="85">
        <f t="shared" ref="K29:K40" si="5">SUM($B9+$E9+$H9+$K9+$B29+$E29+$H29)</f>
        <v>868385911.44000006</v>
      </c>
      <c r="L29" s="83">
        <f>L28*2</f>
        <v>901915166.66666663</v>
      </c>
      <c r="M29" s="77">
        <f>K29-L29</f>
        <v>-33529255.22666657</v>
      </c>
      <c r="N29" s="105">
        <f>M29/L40</f>
        <v>-6.1959366146347779E-3</v>
      </c>
    </row>
    <row r="30" spans="1:14" x14ac:dyDescent="0.2">
      <c r="A30" s="102" t="s">
        <v>9</v>
      </c>
      <c r="B30" s="81">
        <f>4293322.38+3535512.04+B29</f>
        <v>39277788.850000001</v>
      </c>
      <c r="C30" s="83">
        <f>C28*3</f>
        <v>35820000</v>
      </c>
      <c r="D30" s="77">
        <f t="shared" ref="D30:D39" si="6">B30-C30</f>
        <v>3457788.8500000015</v>
      </c>
      <c r="E30" s="106">
        <f>5049680.4+121134751.3+E29</f>
        <v>175933484.69</v>
      </c>
      <c r="F30" s="83">
        <f>F28*3</f>
        <v>310088000</v>
      </c>
      <c r="G30" s="77">
        <f t="shared" ref="G30:G39" si="7">E30-F30</f>
        <v>-134154515.31</v>
      </c>
      <c r="H30" s="104">
        <f>88931375.87+8703048.9+H29</f>
        <v>638793685.16999996</v>
      </c>
      <c r="I30" s="83">
        <f>I28*3</f>
        <v>671470750</v>
      </c>
      <c r="J30" s="77">
        <f t="shared" ref="J30:J39" si="8">H30-I30</f>
        <v>-32677064.830000043</v>
      </c>
      <c r="K30" s="84">
        <f t="shared" si="5"/>
        <v>1194807437.3099999</v>
      </c>
      <c r="L30" s="83">
        <f>L28*3</f>
        <v>1352872750</v>
      </c>
      <c r="M30" s="77">
        <f t="shared" ref="M30:M39" si="9">K30-L30</f>
        <v>-158065312.69000006</v>
      </c>
      <c r="N30" s="105">
        <f>M30/L40</f>
        <v>-2.920919811009573E-2</v>
      </c>
    </row>
    <row r="31" spans="1:14" x14ac:dyDescent="0.2">
      <c r="A31" s="102" t="s">
        <v>10</v>
      </c>
      <c r="B31" s="81">
        <f>4684308.27+4458816.57+B30</f>
        <v>48420913.689999998</v>
      </c>
      <c r="C31" s="82">
        <f>C28*4</f>
        <v>47760000</v>
      </c>
      <c r="D31" s="77">
        <f t="shared" si="6"/>
        <v>660913.68999999762</v>
      </c>
      <c r="E31" s="103">
        <f>154275367.06+15188712.97+E30</f>
        <v>345397564.72000003</v>
      </c>
      <c r="F31" s="82">
        <f>F28*4</f>
        <v>413450666.66666669</v>
      </c>
      <c r="G31" s="77">
        <f t="shared" si="7"/>
        <v>-68053101.946666658</v>
      </c>
      <c r="H31" s="107">
        <f>167560144.52+3708320.01+H30</f>
        <v>810062149.69999993</v>
      </c>
      <c r="I31" s="82">
        <f>I28*4</f>
        <v>895294333.33333337</v>
      </c>
      <c r="J31" s="77">
        <f t="shared" si="8"/>
        <v>-85232183.633333445</v>
      </c>
      <c r="K31" s="84">
        <f t="shared" si="5"/>
        <v>1614581950</v>
      </c>
      <c r="L31" s="82">
        <f>L28*4</f>
        <v>1803830333.3333333</v>
      </c>
      <c r="M31" s="77">
        <f t="shared" si="9"/>
        <v>-189248383.33333325</v>
      </c>
      <c r="N31" s="105">
        <f>M31/L40</f>
        <v>-3.4971578689372902E-2</v>
      </c>
    </row>
    <row r="32" spans="1:14" x14ac:dyDescent="0.2">
      <c r="A32" s="102" t="s">
        <v>11</v>
      </c>
      <c r="B32" s="81">
        <f>5650470.61+4624101.06+B31</f>
        <v>58695485.359999999</v>
      </c>
      <c r="C32" s="82">
        <f>C28*5</f>
        <v>59700000</v>
      </c>
      <c r="D32" s="77">
        <f t="shared" si="6"/>
        <v>-1004514.6400000006</v>
      </c>
      <c r="E32" s="106">
        <f>2091449.26+E31</f>
        <v>347489013.98000002</v>
      </c>
      <c r="F32" s="82">
        <f>F28*5</f>
        <v>516813333.33333337</v>
      </c>
      <c r="G32" s="77">
        <f t="shared" si="7"/>
        <v>-169324319.35333335</v>
      </c>
      <c r="H32" s="107">
        <f>282411157.79+12708476.84+H31</f>
        <v>1105181784.3299999</v>
      </c>
      <c r="I32" s="82">
        <f>I28*5</f>
        <v>1119117916.6666667</v>
      </c>
      <c r="J32" s="77">
        <f t="shared" si="8"/>
        <v>-13936132.336666822</v>
      </c>
      <c r="K32" s="84">
        <f t="shared" si="5"/>
        <v>2005588268.25</v>
      </c>
      <c r="L32" s="82">
        <f>L28*5</f>
        <v>2254787916.6666665</v>
      </c>
      <c r="M32" s="77">
        <f t="shared" si="9"/>
        <v>-249199648.41666651</v>
      </c>
      <c r="N32" s="105">
        <f>M32/L40</f>
        <v>-4.6050090153834961E-2</v>
      </c>
    </row>
    <row r="33" spans="1:14" x14ac:dyDescent="0.2">
      <c r="A33" s="102" t="s">
        <v>12</v>
      </c>
      <c r="B33" s="81">
        <f>5938443.51+5156090.67+B32</f>
        <v>69790019.539999992</v>
      </c>
      <c r="C33" s="82">
        <f>C28*6</f>
        <v>71640000</v>
      </c>
      <c r="D33" s="77">
        <f t="shared" si="6"/>
        <v>-1849980.4600000083</v>
      </c>
      <c r="E33" s="103">
        <f>6399448.41+200803537.23+E32</f>
        <v>554691999.62</v>
      </c>
      <c r="F33" s="82">
        <f>F28*6</f>
        <v>620176000</v>
      </c>
      <c r="G33" s="77">
        <f t="shared" si="7"/>
        <v>-65484000.379999995</v>
      </c>
      <c r="H33" s="107">
        <f>127474632.93+H32</f>
        <v>1232656417.26</v>
      </c>
      <c r="I33" s="82">
        <f>I28*6</f>
        <v>1342941500</v>
      </c>
      <c r="J33" s="77">
        <f t="shared" si="8"/>
        <v>-110285082.74000001</v>
      </c>
      <c r="K33" s="84">
        <f t="shared" si="5"/>
        <v>2452955572.8199997</v>
      </c>
      <c r="L33" s="82">
        <f>L28*6</f>
        <v>2705745500</v>
      </c>
      <c r="M33" s="77">
        <f t="shared" si="9"/>
        <v>-252789927.18000031</v>
      </c>
      <c r="N33" s="105">
        <f>M33/L40</f>
        <v>-4.6713544784607479E-2</v>
      </c>
    </row>
    <row r="34" spans="1:14" x14ac:dyDescent="0.2">
      <c r="A34" s="102" t="s">
        <v>13</v>
      </c>
      <c r="B34" s="81">
        <f>7795980.83+7200980.05+B33</f>
        <v>84786980.419999987</v>
      </c>
      <c r="C34" s="82">
        <f>C28*7</f>
        <v>83580000</v>
      </c>
      <c r="D34" s="77">
        <f t="shared" si="6"/>
        <v>1206980.4199999869</v>
      </c>
      <c r="E34" s="106">
        <f>198823653.66+101240770.73+E33</f>
        <v>854756424.00999999</v>
      </c>
      <c r="F34" s="82">
        <f>F28*7</f>
        <v>723538666.66666675</v>
      </c>
      <c r="G34" s="77">
        <f t="shared" si="7"/>
        <v>131217757.34333324</v>
      </c>
      <c r="H34" s="107">
        <f>188821090.44+16779508.26+H33</f>
        <v>1438257015.96</v>
      </c>
      <c r="I34" s="82">
        <f>I28*7</f>
        <v>1566765083.3333335</v>
      </c>
      <c r="J34" s="77">
        <f t="shared" si="8"/>
        <v>-128508067.37333345</v>
      </c>
      <c r="K34" s="84">
        <f t="shared" si="5"/>
        <v>3099104812.6900001</v>
      </c>
      <c r="L34" s="82">
        <f>L28*7</f>
        <v>3156703083.333333</v>
      </c>
      <c r="M34" s="77">
        <f t="shared" si="9"/>
        <v>-57598270.643332958</v>
      </c>
      <c r="N34" s="105">
        <f>M34/L40</f>
        <v>-1.0643697022379406E-2</v>
      </c>
    </row>
    <row r="35" spans="1:14" x14ac:dyDescent="0.2">
      <c r="A35" s="102" t="s">
        <v>14</v>
      </c>
      <c r="B35" s="81">
        <f>9114372.98+4890744.94+B34</f>
        <v>98792098.339999989</v>
      </c>
      <c r="C35" s="82">
        <f>C28*8</f>
        <v>95520000</v>
      </c>
      <c r="D35" s="77">
        <f t="shared" si="6"/>
        <v>3272098.3399999887</v>
      </c>
      <c r="E35" s="103">
        <f t="shared" ref="E35" si="10">0+E34</f>
        <v>854756424.00999999</v>
      </c>
      <c r="F35" s="82">
        <f>F28*8</f>
        <v>826901333.33333337</v>
      </c>
      <c r="G35" s="77">
        <f t="shared" si="7"/>
        <v>27855090.676666617</v>
      </c>
      <c r="H35" s="107">
        <f>323146573.78+7790530.33+H34</f>
        <v>1769194120.0699999</v>
      </c>
      <c r="I35" s="82">
        <f>I28*8</f>
        <v>1790588666.6666667</v>
      </c>
      <c r="J35" s="77">
        <f t="shared" si="8"/>
        <v>-21394546.596666813</v>
      </c>
      <c r="K35" s="84">
        <f t="shared" si="5"/>
        <v>3575214140.75</v>
      </c>
      <c r="L35" s="82">
        <f>L28*8</f>
        <v>3607660666.6666665</v>
      </c>
      <c r="M35" s="77">
        <f t="shared" si="9"/>
        <v>-32446525.916666508</v>
      </c>
      <c r="N35" s="105">
        <f>M35/L40</f>
        <v>-5.9958569489751545E-3</v>
      </c>
    </row>
    <row r="36" spans="1:14" x14ac:dyDescent="0.2">
      <c r="A36" s="102" t="s">
        <v>15</v>
      </c>
      <c r="B36" s="81">
        <f>10257002.44+3942809.96+B35</f>
        <v>112991910.73999998</v>
      </c>
      <c r="C36" s="82">
        <f>C28*9</f>
        <v>107460000</v>
      </c>
      <c r="D36" s="77">
        <f t="shared" si="6"/>
        <v>5531910.7399999797</v>
      </c>
      <c r="E36" s="106">
        <f>195742041.92+E35</f>
        <v>1050498465.9299999</v>
      </c>
      <c r="F36" s="82">
        <f>F28*9</f>
        <v>930264000</v>
      </c>
      <c r="G36" s="77">
        <f t="shared" si="7"/>
        <v>120234465.92999995</v>
      </c>
      <c r="H36" s="107">
        <f>181583877.93+H35</f>
        <v>1950777998</v>
      </c>
      <c r="I36" s="82">
        <f>I28*9</f>
        <v>2014412250</v>
      </c>
      <c r="J36" s="77">
        <f t="shared" si="8"/>
        <v>-63634252</v>
      </c>
      <c r="K36" s="84">
        <f t="shared" si="5"/>
        <v>4078519532.1399999</v>
      </c>
      <c r="L36" s="82">
        <f>L28*9</f>
        <v>4058618250</v>
      </c>
      <c r="M36" s="77">
        <f t="shared" si="9"/>
        <v>19901282.139999866</v>
      </c>
      <c r="N36" s="105">
        <f>M36/L40</f>
        <v>3.6775968286743648E-3</v>
      </c>
    </row>
    <row r="37" spans="1:14" x14ac:dyDescent="0.2">
      <c r="A37" s="102" t="s">
        <v>16</v>
      </c>
      <c r="B37" s="81">
        <f>6863169.66+4945828.52+B36</f>
        <v>124800908.91999999</v>
      </c>
      <c r="C37" s="82">
        <f>C28*10</f>
        <v>119400000</v>
      </c>
      <c r="D37" s="77">
        <f t="shared" si="6"/>
        <v>5400908.9199999869</v>
      </c>
      <c r="E37" s="103">
        <f>45361561.77+6829635.66+E36</f>
        <v>1102689663.3599999</v>
      </c>
      <c r="F37" s="82">
        <f>F28*10</f>
        <v>1033626666.6666667</v>
      </c>
      <c r="G37" s="77">
        <f t="shared" si="7"/>
        <v>69062996.693333149</v>
      </c>
      <c r="H37" s="107">
        <f>155617000.66+21905252.78+H36</f>
        <v>2128300251.4400001</v>
      </c>
      <c r="I37" s="82">
        <f>I28*10</f>
        <v>2238235833.3333335</v>
      </c>
      <c r="J37" s="77">
        <f t="shared" si="8"/>
        <v>-109935581.89333344</v>
      </c>
      <c r="K37" s="84">
        <f t="shared" si="5"/>
        <v>4442928917.4699993</v>
      </c>
      <c r="L37" s="82">
        <f>L28*10</f>
        <v>4509575833.333333</v>
      </c>
      <c r="M37" s="77">
        <f t="shared" si="9"/>
        <v>-66646915.863333702</v>
      </c>
      <c r="N37" s="105">
        <f>M37/L40</f>
        <v>-1.2315813860419189E-2</v>
      </c>
    </row>
    <row r="38" spans="1:14" x14ac:dyDescent="0.2">
      <c r="A38" s="102" t="s">
        <v>17</v>
      </c>
      <c r="B38" s="81">
        <f>7036198.8+4318170.07+B37</f>
        <v>136155277.78999999</v>
      </c>
      <c r="C38" s="82">
        <f>C28*11</f>
        <v>131340000</v>
      </c>
      <c r="D38" s="77">
        <f t="shared" si="6"/>
        <v>4815277.7899999917</v>
      </c>
      <c r="E38" s="103">
        <f>4123061.3+3312261.06+E37</f>
        <v>1110124985.7199998</v>
      </c>
      <c r="F38" s="82">
        <f>F28*11</f>
        <v>1136989333.3333335</v>
      </c>
      <c r="G38" s="77">
        <f t="shared" si="7"/>
        <v>-26864347.613333702</v>
      </c>
      <c r="H38" s="107">
        <f>324735243.97+14529043.36+H37</f>
        <v>2467564538.77</v>
      </c>
      <c r="I38" s="82">
        <f>I28*11</f>
        <v>2462059416.666667</v>
      </c>
      <c r="J38" s="77">
        <f t="shared" si="8"/>
        <v>5505122.1033329964</v>
      </c>
      <c r="K38" s="84">
        <f t="shared" si="5"/>
        <v>4910168370.7799997</v>
      </c>
      <c r="L38" s="82">
        <f>L28*11</f>
        <v>4960533416.666666</v>
      </c>
      <c r="M38" s="77">
        <f t="shared" si="9"/>
        <v>-50365045.886666298</v>
      </c>
      <c r="N38" s="105">
        <f>M38/L40</f>
        <v>-9.3070552804515976E-3</v>
      </c>
    </row>
    <row r="39" spans="1:14" ht="13.5" thickBot="1" x14ac:dyDescent="0.25">
      <c r="A39" s="149" t="s">
        <v>18</v>
      </c>
      <c r="B39" s="143">
        <f>5300747.49+5834133.44+B38</f>
        <v>147290158.72</v>
      </c>
      <c r="C39" s="141">
        <f>C28*12</f>
        <v>143280000</v>
      </c>
      <c r="D39" s="77">
        <f t="shared" si="6"/>
        <v>4010158.7199999988</v>
      </c>
      <c r="E39" s="144">
        <f>6041293.41+233951122.94+E38</f>
        <v>1350117402.0699997</v>
      </c>
      <c r="F39" s="141">
        <f>F28*12</f>
        <v>1240352000</v>
      </c>
      <c r="G39" s="151">
        <f t="shared" si="7"/>
        <v>109765402.06999969</v>
      </c>
      <c r="H39" s="146">
        <f>220674960.61+10306008.61+H38</f>
        <v>2698545507.9899998</v>
      </c>
      <c r="I39" s="141">
        <f>I28*12</f>
        <v>2685883000</v>
      </c>
      <c r="J39" s="77">
        <f t="shared" si="8"/>
        <v>12662507.989999771</v>
      </c>
      <c r="K39" s="131">
        <f t="shared" si="5"/>
        <v>5558720394.0099993</v>
      </c>
      <c r="L39" s="147">
        <f>L28*12</f>
        <v>5411491000</v>
      </c>
      <c r="M39" s="77">
        <f t="shared" si="9"/>
        <v>147229394.00999928</v>
      </c>
      <c r="N39" s="105">
        <f>M39/L40</f>
        <v>2.7206807515710415E-2</v>
      </c>
    </row>
    <row r="40" spans="1:14" ht="13.5" thickBot="1" x14ac:dyDescent="0.25">
      <c r="A40" s="86" t="s">
        <v>19</v>
      </c>
      <c r="B40" s="129">
        <f>B39</f>
        <v>147290158.72</v>
      </c>
      <c r="C40" s="87">
        <v>143280000</v>
      </c>
      <c r="D40" s="89"/>
      <c r="E40" s="133">
        <f>E39</f>
        <v>1350117402.0699997</v>
      </c>
      <c r="F40" s="108">
        <v>1240352000</v>
      </c>
      <c r="G40" s="109"/>
      <c r="H40" s="129">
        <f>H39</f>
        <v>2698545507.9899998</v>
      </c>
      <c r="I40" s="87">
        <v>2685883000</v>
      </c>
      <c r="J40" s="110"/>
      <c r="K40" s="132">
        <f t="shared" si="5"/>
        <v>5558720394.0099993</v>
      </c>
      <c r="L40" s="111">
        <f>SUM(F20+I20+L20+O20+F40+I40+C20+C40)</f>
        <v>5411491000</v>
      </c>
      <c r="M40" s="112"/>
      <c r="N40" s="113"/>
    </row>
    <row r="41" spans="1:14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4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4" x14ac:dyDescent="0.2">
      <c r="K43" s="114"/>
      <c r="L43" s="115"/>
    </row>
    <row r="44" spans="1:14" x14ac:dyDescent="0.2">
      <c r="K44" s="114"/>
    </row>
    <row r="45" spans="1:14" x14ac:dyDescent="0.2">
      <c r="K45" s="114"/>
    </row>
    <row r="46" spans="1:14" x14ac:dyDescent="0.2">
      <c r="K46" s="114"/>
    </row>
    <row r="48" spans="1:14" x14ac:dyDescent="0.2">
      <c r="K48" s="116"/>
    </row>
  </sheetData>
  <mergeCells count="38"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  <mergeCell ref="B24:D25"/>
    <mergeCell ref="E24:G25"/>
    <mergeCell ref="H24:J25"/>
    <mergeCell ref="K24:M25"/>
    <mergeCell ref="B26:B27"/>
    <mergeCell ref="C26:C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499984740745262"/>
  </sheetPr>
  <dimension ref="A1:S50"/>
  <sheetViews>
    <sheetView showGridLines="0" zoomScaleNormal="100" workbookViewId="0">
      <selection activeCell="J26" sqref="J26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63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20.25" x14ac:dyDescent="0.3">
      <c r="B2" s="587" t="s">
        <v>69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92"/>
      <c r="P2" s="592"/>
      <c r="Q2" s="592"/>
      <c r="R2" s="592"/>
      <c r="S2" s="592"/>
    </row>
    <row r="3" spans="1:19" ht="12.75" customHeight="1" x14ac:dyDescent="0.25">
      <c r="A3" s="59"/>
    </row>
    <row r="4" spans="1:19" ht="12.75" customHeight="1" x14ac:dyDescent="0.2"/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64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  <row r="49" spans="2:19" ht="20.25" x14ac:dyDescent="0.3">
      <c r="B49" s="587" t="s">
        <v>69</v>
      </c>
      <c r="C49" s="586"/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92"/>
      <c r="P49" s="592"/>
      <c r="Q49" s="592"/>
      <c r="R49" s="592"/>
      <c r="S49" s="592"/>
    </row>
    <row r="50" spans="2:19" ht="12.75" customHeight="1" x14ac:dyDescent="0.2"/>
  </sheetData>
  <mergeCells count="4">
    <mergeCell ref="B1:S1"/>
    <mergeCell ref="B2:S2"/>
    <mergeCell ref="B48:S48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1" tint="4.9989318521683403E-2"/>
    <pageSetUpPr fitToPage="1"/>
  </sheetPr>
  <dimension ref="A1:N48"/>
  <sheetViews>
    <sheetView showGridLines="0" topLeftCell="A7" zoomScale="120" zoomScaleNormal="120" workbookViewId="0">
      <selection activeCell="K40" sqref="K40"/>
    </sheetView>
  </sheetViews>
  <sheetFormatPr defaultRowHeight="15" x14ac:dyDescent="0.25"/>
  <cols>
    <col min="1" max="1" width="8.7109375" customWidth="1"/>
    <col min="2" max="2" width="12.7109375" customWidth="1"/>
    <col min="3" max="4" width="12.140625" customWidth="1"/>
    <col min="5" max="5" width="12.7109375" customWidth="1"/>
    <col min="6" max="7" width="12.140625" customWidth="1"/>
    <col min="8" max="8" width="12.7109375" customWidth="1"/>
    <col min="9" max="10" width="12.140625" customWidth="1"/>
    <col min="11" max="11" width="12.7109375" customWidth="1"/>
    <col min="12" max="13" width="12.140625" customWidth="1"/>
    <col min="14" max="14" width="10.85546875" customWidth="1"/>
    <col min="15" max="15" width="9.7109375" customWidth="1"/>
    <col min="16" max="16" width="12.42578125" customWidth="1"/>
    <col min="17" max="18" width="9.7109375" customWidth="1"/>
    <col min="19" max="19" width="11" customWidth="1"/>
  </cols>
  <sheetData>
    <row r="1" spans="1:14" ht="20.25" x14ac:dyDescent="0.3">
      <c r="A1" s="593" t="s">
        <v>70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</row>
    <row r="2" spans="1:14" ht="20.25" x14ac:dyDescent="0.3">
      <c r="A2" s="594" t="s">
        <v>76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</row>
    <row r="3" spans="1:14" ht="13.5" customHeight="1" thickBot="1" x14ac:dyDescent="0.3">
      <c r="B3" s="152"/>
      <c r="C3" s="153"/>
      <c r="D3" s="154"/>
      <c r="E3" s="154"/>
      <c r="F3" s="154"/>
      <c r="G3" s="155"/>
      <c r="H3" s="155"/>
      <c r="I3" s="155"/>
      <c r="J3" s="155"/>
      <c r="K3" s="156"/>
      <c r="L3" s="156"/>
      <c r="M3" s="157" t="s">
        <v>59</v>
      </c>
      <c r="N3" s="158"/>
    </row>
    <row r="4" spans="1:14" ht="13.5" customHeight="1" x14ac:dyDescent="0.25">
      <c r="A4" s="595" t="s">
        <v>2</v>
      </c>
      <c r="B4" s="598" t="s">
        <v>27</v>
      </c>
      <c r="C4" s="599"/>
      <c r="D4" s="600"/>
      <c r="E4" s="604" t="s">
        <v>28</v>
      </c>
      <c r="F4" s="599"/>
      <c r="G4" s="600"/>
      <c r="H4" s="605" t="s">
        <v>29</v>
      </c>
      <c r="I4" s="599"/>
      <c r="J4" s="600"/>
      <c r="K4" s="606" t="s">
        <v>30</v>
      </c>
      <c r="L4" s="599"/>
      <c r="M4" s="600"/>
      <c r="N4" s="158"/>
    </row>
    <row r="5" spans="1:14" ht="13.5" customHeight="1" thickBot="1" x14ac:dyDescent="0.3">
      <c r="A5" s="596"/>
      <c r="B5" s="601"/>
      <c r="C5" s="602"/>
      <c r="D5" s="603"/>
      <c r="E5" s="601"/>
      <c r="F5" s="602"/>
      <c r="G5" s="603"/>
      <c r="H5" s="601"/>
      <c r="I5" s="602"/>
      <c r="J5" s="603"/>
      <c r="K5" s="601"/>
      <c r="L5" s="602"/>
      <c r="M5" s="603"/>
      <c r="N5" s="156"/>
    </row>
    <row r="6" spans="1:14" x14ac:dyDescent="0.25">
      <c r="A6" s="596"/>
      <c r="B6" s="607" t="s">
        <v>3</v>
      </c>
      <c r="C6" s="609" t="s">
        <v>31</v>
      </c>
      <c r="D6" s="611" t="s">
        <v>32</v>
      </c>
      <c r="E6" s="607" t="s">
        <v>4</v>
      </c>
      <c r="F6" s="609" t="s">
        <v>31</v>
      </c>
      <c r="G6" s="611" t="s">
        <v>32</v>
      </c>
      <c r="H6" s="624" t="s">
        <v>5</v>
      </c>
      <c r="I6" s="609" t="s">
        <v>31</v>
      </c>
      <c r="J6" s="611" t="s">
        <v>32</v>
      </c>
      <c r="K6" s="607" t="s">
        <v>6</v>
      </c>
      <c r="L6" s="609" t="s">
        <v>31</v>
      </c>
      <c r="M6" s="611" t="s">
        <v>32</v>
      </c>
    </row>
    <row r="7" spans="1:14" ht="15.75" thickBot="1" x14ac:dyDescent="0.3">
      <c r="A7" s="597"/>
      <c r="B7" s="608"/>
      <c r="C7" s="610"/>
      <c r="D7" s="612"/>
      <c r="E7" s="608"/>
      <c r="F7" s="610"/>
      <c r="G7" s="612"/>
      <c r="H7" s="608"/>
      <c r="I7" s="610"/>
      <c r="J7" s="612"/>
      <c r="K7" s="608"/>
      <c r="L7" s="610"/>
      <c r="M7" s="612"/>
    </row>
    <row r="8" spans="1:14" s="161" customFormat="1" ht="12.75" x14ac:dyDescent="0.2">
      <c r="A8" s="315" t="s">
        <v>7</v>
      </c>
      <c r="B8" s="316">
        <f>52522814.32+77600057.65</f>
        <v>130122871.97</v>
      </c>
      <c r="C8" s="284">
        <f>C20/12</f>
        <v>102498000</v>
      </c>
      <c r="D8" s="296">
        <f>B8-C8</f>
        <v>27624871.969999999</v>
      </c>
      <c r="E8" s="283">
        <f>3575667.79+5123816.6</f>
        <v>8699484.3900000006</v>
      </c>
      <c r="F8" s="284">
        <f>F20/12</f>
        <v>7177083.333333333</v>
      </c>
      <c r="G8" s="296">
        <f>E8-F8</f>
        <v>1522401.0566666676</v>
      </c>
      <c r="H8" s="283">
        <f>2078.7+1585908.61</f>
        <v>1587987.31</v>
      </c>
      <c r="I8" s="284">
        <f>I20/12</f>
        <v>3370333.3333333335</v>
      </c>
      <c r="J8" s="285">
        <f>H8-I8</f>
        <v>-1782346.0233333334</v>
      </c>
      <c r="K8" s="283">
        <f>2965508.48+667254.85</f>
        <v>3632763.33</v>
      </c>
      <c r="L8" s="284">
        <f>L20/12</f>
        <v>1739833.3333333333</v>
      </c>
      <c r="M8" s="285">
        <f>K8-L8</f>
        <v>1892929.9966666668</v>
      </c>
    </row>
    <row r="9" spans="1:14" s="161" customFormat="1" ht="12.75" x14ac:dyDescent="0.2">
      <c r="A9" s="317" t="s">
        <v>8</v>
      </c>
      <c r="B9" s="294">
        <f>50052761.98+63448240.9</f>
        <v>113501002.88</v>
      </c>
      <c r="C9" s="295">
        <f>C8*2</f>
        <v>204996000</v>
      </c>
      <c r="D9" s="296">
        <f>SUM(B8+B9)-C9</f>
        <v>38627874.849999994</v>
      </c>
      <c r="E9" s="316">
        <f>3304909.64+4189393.21</f>
        <v>7494302.8499999996</v>
      </c>
      <c r="F9" s="295">
        <f>F8*2</f>
        <v>14354166.666666666</v>
      </c>
      <c r="G9" s="296">
        <f>SUM(E8+E9)-F9</f>
        <v>1839620.5733333342</v>
      </c>
      <c r="H9" s="316">
        <f>5994.6</f>
        <v>5994.6</v>
      </c>
      <c r="I9" s="295">
        <f>I8*2</f>
        <v>6740666.666666667</v>
      </c>
      <c r="J9" s="296">
        <f>SUM(H8+H9)-I9</f>
        <v>-5146684.7566666668</v>
      </c>
      <c r="K9" s="294">
        <f>577290.86+820241.88</f>
        <v>1397532.74</v>
      </c>
      <c r="L9" s="295">
        <f>L8*2</f>
        <v>3479666.6666666665</v>
      </c>
      <c r="M9" s="296">
        <f>SUM(K8+K9)-L9</f>
        <v>1550629.4033333338</v>
      </c>
    </row>
    <row r="10" spans="1:14" s="161" customFormat="1" ht="12.75" x14ac:dyDescent="0.2">
      <c r="A10" s="317" t="s">
        <v>9</v>
      </c>
      <c r="B10" s="294">
        <f>44661525.67+53601122.72</f>
        <v>98262648.390000001</v>
      </c>
      <c r="C10" s="295">
        <f>C8*3</f>
        <v>307494000</v>
      </c>
      <c r="D10" s="296">
        <f>SUM(B8+B9+B10)-C10</f>
        <v>34392523.24000001</v>
      </c>
      <c r="E10" s="316">
        <f>2948934.3+3539202.64</f>
        <v>6488136.9399999995</v>
      </c>
      <c r="F10" s="299">
        <f>F8*3</f>
        <v>21531250</v>
      </c>
      <c r="G10" s="296">
        <f>SUM(E8+E9+E10)-F10</f>
        <v>1150674.1799999997</v>
      </c>
      <c r="H10" s="316">
        <f>945492.23+513</f>
        <v>946005.23</v>
      </c>
      <c r="I10" s="299">
        <f>I8*3</f>
        <v>10111000</v>
      </c>
      <c r="J10" s="296">
        <f>SUM(H8+H9+H10)-I10</f>
        <v>-7571012.8599999994</v>
      </c>
      <c r="K10" s="294">
        <f>1250556.85+1044506.49</f>
        <v>2295063.34</v>
      </c>
      <c r="L10" s="299">
        <f>L8*3</f>
        <v>5219500</v>
      </c>
      <c r="M10" s="296">
        <f>SUM(K8+K9+K10)-L10</f>
        <v>2105859.41</v>
      </c>
    </row>
    <row r="11" spans="1:14" s="161" customFormat="1" ht="12.75" x14ac:dyDescent="0.2">
      <c r="A11" s="317" t="s">
        <v>10</v>
      </c>
      <c r="B11" s="294">
        <f>35606158.7+51814261.01</f>
        <v>87420419.710000008</v>
      </c>
      <c r="C11" s="295">
        <f>C8*4</f>
        <v>409992000</v>
      </c>
      <c r="D11" s="296">
        <f>SUM(B8+B9+B10+B11)-C11</f>
        <v>19314942.950000048</v>
      </c>
      <c r="E11" s="316">
        <f>2351021.81+3421218.8</f>
        <v>5772240.6099999994</v>
      </c>
      <c r="F11" s="295">
        <f>F8*4</f>
        <v>28708333.333333332</v>
      </c>
      <c r="G11" s="296">
        <f>SUM(E8+E9+E10+E11)-F11</f>
        <v>-254168.54333333299</v>
      </c>
      <c r="H11" s="316">
        <f>7746.55+321341.79</f>
        <v>329088.33999999997</v>
      </c>
      <c r="I11" s="295">
        <f>I8*4</f>
        <v>13481333.333333334</v>
      </c>
      <c r="J11" s="296">
        <f>SUM(H8+H9+H10+H11)-I11</f>
        <v>-10612257.853333334</v>
      </c>
      <c r="K11" s="294">
        <v>0</v>
      </c>
      <c r="L11" s="295">
        <f>L8*4</f>
        <v>6959333.333333333</v>
      </c>
      <c r="M11" s="296">
        <f>SUM(K8+K9+K10+K11)-L11</f>
        <v>366026.07666666713</v>
      </c>
    </row>
    <row r="12" spans="1:14" s="161" customFormat="1" ht="12.75" x14ac:dyDescent="0.2">
      <c r="A12" s="317" t="s">
        <v>11</v>
      </c>
      <c r="B12" s="294">
        <f>31625290.89+66504376.4</f>
        <v>98129667.289999992</v>
      </c>
      <c r="C12" s="295">
        <f>C8*5</f>
        <v>512490000</v>
      </c>
      <c r="D12" s="296">
        <f>SUM(B8+B9+B10+B11+B12)-C12</f>
        <v>14946610.24000001</v>
      </c>
      <c r="E12" s="316">
        <f>2088171.06+4391185.3</f>
        <v>6479356.3599999994</v>
      </c>
      <c r="F12" s="295">
        <f>F8*5</f>
        <v>35885416.666666664</v>
      </c>
      <c r="G12" s="296">
        <f>SUM(E8+E9+E10+E11+E12)-F12</f>
        <v>-951895.51666666567</v>
      </c>
      <c r="H12" s="316">
        <f>3237.02</f>
        <v>3237.02</v>
      </c>
      <c r="I12" s="295">
        <f>I8*5</f>
        <v>16851666.666666668</v>
      </c>
      <c r="J12" s="296">
        <f>SUM(H8+H9+H10+H11+H12)-I12</f>
        <v>-13979354.166666668</v>
      </c>
      <c r="K12" s="294">
        <v>0</v>
      </c>
      <c r="L12" s="295">
        <f>L8*5</f>
        <v>8699166.666666666</v>
      </c>
      <c r="M12" s="296">
        <f>SUM(K8+K9+K10+K11+K12)-L12</f>
        <v>-1373807.2566666659</v>
      </c>
    </row>
    <row r="13" spans="1:14" ht="12.75" customHeight="1" x14ac:dyDescent="0.25">
      <c r="A13" s="317" t="s">
        <v>12</v>
      </c>
      <c r="B13" s="294">
        <f>51115877.7+64336207.93</f>
        <v>115452085.63</v>
      </c>
      <c r="C13" s="295">
        <f>C8*6</f>
        <v>614988000</v>
      </c>
      <c r="D13" s="296">
        <f>SUM(B8+B9+B10+B11+B12+B13)-C13</f>
        <v>27900695.870000005</v>
      </c>
      <c r="E13" s="316">
        <f>3375105.57+4733333.98</f>
        <v>8108439.5500000007</v>
      </c>
      <c r="F13" s="295">
        <f>F8*6</f>
        <v>43062500</v>
      </c>
      <c r="G13" s="296">
        <f>SUM(E8+E9+E10+E11+E12+E13)-F13</f>
        <v>-20539.29999999702</v>
      </c>
      <c r="H13" s="316">
        <f>6023.2+4445.1+5219.88</f>
        <v>15688.18</v>
      </c>
      <c r="I13" s="295">
        <f>I8*6</f>
        <v>20222000</v>
      </c>
      <c r="J13" s="296">
        <f>SUM(H8+H9+H10+H11+H12+H13)-I13</f>
        <v>-17333999.32</v>
      </c>
      <c r="K13" s="294">
        <v>0</v>
      </c>
      <c r="L13" s="295">
        <f>L8*6</f>
        <v>10439000</v>
      </c>
      <c r="M13" s="296">
        <f>SUM(K8+K9+K10+K11+K12+K13)-L13</f>
        <v>-3113640.59</v>
      </c>
    </row>
    <row r="14" spans="1:14" ht="12.75" customHeight="1" x14ac:dyDescent="0.25">
      <c r="A14" s="317" t="s">
        <v>13</v>
      </c>
      <c r="B14" s="294">
        <f>48328572.05+69679955.73</f>
        <v>118008527.78</v>
      </c>
      <c r="C14" s="295">
        <f>C8*7</f>
        <v>717486000</v>
      </c>
      <c r="D14" s="296">
        <f>SUM(B8+B9+B10+B11+B12+B13+B14)-C14</f>
        <v>43411223.649999976</v>
      </c>
      <c r="E14" s="316">
        <f>3191063.92+5043255.17</f>
        <v>8234319.0899999999</v>
      </c>
      <c r="F14" s="295">
        <f>F8*7</f>
        <v>50239583.333333328</v>
      </c>
      <c r="G14" s="296">
        <f>SUM(E8+E9+E10+E11+E12+E13+E14)-F14</f>
        <v>1036696.4566666782</v>
      </c>
      <c r="H14" s="316">
        <f>100076.37+883.8+756+9532.8</f>
        <v>111248.97</v>
      </c>
      <c r="I14" s="295">
        <f>I8*7</f>
        <v>23592333.333333336</v>
      </c>
      <c r="J14" s="296">
        <f>SUM(H8+H9+H10+H11+H12+H13+H14)-I14</f>
        <v>-20593083.683333337</v>
      </c>
      <c r="K14" s="294">
        <f>841114.61+5787220.17</f>
        <v>6628334.7800000003</v>
      </c>
      <c r="L14" s="295">
        <f>L8*7</f>
        <v>12178833.333333332</v>
      </c>
      <c r="M14" s="296">
        <f>SUM(K8+K9+K10+K11+K12+K13+K14)-L14</f>
        <v>1774860.8566666692</v>
      </c>
    </row>
    <row r="15" spans="1:14" ht="12.75" customHeight="1" x14ac:dyDescent="0.25">
      <c r="A15" s="317" t="s">
        <v>14</v>
      </c>
      <c r="B15" s="294">
        <f>45422777.81+70333417.28</f>
        <v>115756195.09</v>
      </c>
      <c r="C15" s="295">
        <f>C8*8</f>
        <v>819984000</v>
      </c>
      <c r="D15" s="296">
        <f>SUM(B8+B9+B10+B11+B12+B13+B14+B15)-C15</f>
        <v>56669418.74000001</v>
      </c>
      <c r="E15" s="316">
        <f>2999198.66+4644011.22</f>
        <v>7643209.8799999999</v>
      </c>
      <c r="F15" s="295">
        <f>F8*8</f>
        <v>57416666.666666664</v>
      </c>
      <c r="G15" s="296">
        <f>SUM(E8+E9+E10+E11+E12+E13+E14+E15)-F15</f>
        <v>1502823.0033333451</v>
      </c>
      <c r="H15" s="316">
        <f>3205642.16+1890+8613+3860590.84</f>
        <v>7076736</v>
      </c>
      <c r="I15" s="295">
        <f>I8*8</f>
        <v>26962666.666666668</v>
      </c>
      <c r="J15" s="296">
        <f>SUM(H8+H9+H10+H11+H12+H13+H14+H15)-I15</f>
        <v>-16886681.016666666</v>
      </c>
      <c r="K15" s="294">
        <v>0</v>
      </c>
      <c r="L15" s="295">
        <f>L8*8</f>
        <v>13918666.666666666</v>
      </c>
      <c r="M15" s="296">
        <f>SUM(K8+K9+K10+K11+K12+K13+K14+K15)-L15</f>
        <v>35027.523333335295</v>
      </c>
    </row>
    <row r="16" spans="1:14" ht="12.75" customHeight="1" x14ac:dyDescent="0.25">
      <c r="A16" s="317" t="s">
        <v>15</v>
      </c>
      <c r="B16" s="294">
        <f>48711961.71+64089261.24</f>
        <v>112801222.95</v>
      </c>
      <c r="C16" s="295">
        <f>C8*9</f>
        <v>922482000</v>
      </c>
      <c r="D16" s="296">
        <f>SUM(B8+B9+B10+B11+B12+B13+B14+B15+B16)-C16</f>
        <v>66972641.690000057</v>
      </c>
      <c r="E16" s="316">
        <f>3216378.55+5064461.33</f>
        <v>8280839.8799999999</v>
      </c>
      <c r="F16" s="295">
        <f>F8*9</f>
        <v>64593750</v>
      </c>
      <c r="G16" s="296">
        <f>SUM(E8+E9+E10+E11+E12+E13+E14+E15+E16)-F16</f>
        <v>2606579.5500000119</v>
      </c>
      <c r="H16" s="316">
        <f>1342.8+2181512.86+10608079.9</f>
        <v>12790935.560000001</v>
      </c>
      <c r="I16" s="295">
        <f>I8*9</f>
        <v>30333000</v>
      </c>
      <c r="J16" s="296">
        <f>SUM(H8+H9+H10+H11+H12+H13+H14+H15+H16)-I16</f>
        <v>-7466078.7899999991</v>
      </c>
      <c r="K16" s="294">
        <f>5685799.21</f>
        <v>5685799.21</v>
      </c>
      <c r="L16" s="295">
        <f>L8*9</f>
        <v>15658500</v>
      </c>
      <c r="M16" s="296">
        <f>SUM(K8+K9+K10+K11+K12+K13+K14+K15+K16)-L16</f>
        <v>3980993.4000000022</v>
      </c>
    </row>
    <row r="17" spans="1:14" s="161" customFormat="1" ht="12.75" customHeight="1" x14ac:dyDescent="0.2">
      <c r="A17" s="317" t="s">
        <v>16</v>
      </c>
      <c r="B17" s="294">
        <f>44702195.15+67964382.34</f>
        <v>112666577.49000001</v>
      </c>
      <c r="C17" s="295">
        <f>C8*10</f>
        <v>1024980000</v>
      </c>
      <c r="D17" s="296">
        <f>SUM(B8+B9+B10+B11+B12+B13+B14+B15+B16+B17)-C17</f>
        <v>77141219.180000067</v>
      </c>
      <c r="E17" s="316">
        <f>2990763.82+4560482.27</f>
        <v>7551246.0899999999</v>
      </c>
      <c r="F17" s="295">
        <f>F8*10</f>
        <v>71770833.333333328</v>
      </c>
      <c r="G17" s="296">
        <f>SUM(E8+E9+E10+E11+E12+E13+E14+E15+E16+E17)-F17</f>
        <v>2980742.3066666871</v>
      </c>
      <c r="H17" s="316">
        <f>5516057.17+735.6</f>
        <v>5516792.7699999996</v>
      </c>
      <c r="I17" s="295">
        <f>I8*10</f>
        <v>33703333.333333336</v>
      </c>
      <c r="J17" s="296">
        <f>SUM(H8+H9+H10+H11+H12+H13+H14+H15+H16+H17)-I17</f>
        <v>-5319619.3533333354</v>
      </c>
      <c r="K17" s="294">
        <f>2480746.65+876506.62</f>
        <v>3357253.27</v>
      </c>
      <c r="L17" s="295">
        <f>L8*10</f>
        <v>17398333.333333332</v>
      </c>
      <c r="M17" s="296">
        <f>SUM(K8+K9+K10+K11+K12+K13+K14+K15+K16+K17)-L17</f>
        <v>5598413.3366666697</v>
      </c>
    </row>
    <row r="18" spans="1:14" ht="12.75" customHeight="1" x14ac:dyDescent="0.25">
      <c r="A18" s="317" t="s">
        <v>17</v>
      </c>
      <c r="B18" s="294">
        <f>48794708.35+73744225.88</f>
        <v>122538934.22999999</v>
      </c>
      <c r="C18" s="295">
        <f>C8*11</f>
        <v>1127478000</v>
      </c>
      <c r="D18" s="296">
        <f>SUM(B8+B9+B10+B11+B12+B13+B14+B15+B16+B17+B18)-C18</f>
        <v>97182153.410000086</v>
      </c>
      <c r="E18" s="316">
        <f>3264570.11+4933797.14</f>
        <v>8198367.25</v>
      </c>
      <c r="F18" s="295">
        <f>F8*11</f>
        <v>78947916.666666657</v>
      </c>
      <c r="G18" s="296">
        <f>SUM(E8+E9+E10+E11+E12+E13+E14+E15+E16+E17+E18)-F18</f>
        <v>4002026.2233333588</v>
      </c>
      <c r="H18" s="316">
        <f>2488.2+5400+839.1</f>
        <v>8727.2999999999993</v>
      </c>
      <c r="I18" s="295">
        <f>I8*11</f>
        <v>37073666.666666672</v>
      </c>
      <c r="J18" s="296">
        <f>SUM(H8+H9+H10+H11+H12+H13+H14+H15+H16+H17+H18)-I18</f>
        <v>-8681225.3866666704</v>
      </c>
      <c r="K18" s="294">
        <f>874709.55+820139.48</f>
        <v>1694849.03</v>
      </c>
      <c r="L18" s="295">
        <f>L8*11</f>
        <v>19138166.666666664</v>
      </c>
      <c r="M18" s="296">
        <f>SUM(K8+K9+K10+K11+K12+K13+K14+K15+K16+K17+K18)-L18</f>
        <v>5553429.0333333388</v>
      </c>
    </row>
    <row r="19" spans="1:14" ht="12.75" customHeight="1" thickBot="1" x14ac:dyDescent="0.3">
      <c r="A19" s="330" t="s">
        <v>18</v>
      </c>
      <c r="B19" s="320">
        <f>46297373.81+95881775.58</f>
        <v>142179149.38999999</v>
      </c>
      <c r="C19" s="321">
        <f>C8*12</f>
        <v>1229976000</v>
      </c>
      <c r="D19" s="296">
        <f>SUM(B8+B9+B10+B11+B12+B13+B14+B15+B16+B17+B18+B19)-C19</f>
        <v>136863302.80000019</v>
      </c>
      <c r="E19" s="322">
        <f>3097487.96+6414891.83</f>
        <v>9512379.7899999991</v>
      </c>
      <c r="F19" s="321">
        <f>F8*12</f>
        <v>86125000</v>
      </c>
      <c r="G19" s="296">
        <f>SUM(E8+E9+E10+E11+E12+E13+E14+E15+E16+E17+E18+E19)-F19</f>
        <v>6337322.6800000072</v>
      </c>
      <c r="H19" s="322">
        <f>967.2+3722471.35+10894.47</f>
        <v>3734333.0200000005</v>
      </c>
      <c r="I19" s="321">
        <f>I8*12</f>
        <v>40444000</v>
      </c>
      <c r="J19" s="296">
        <f>SUM(H8+H9+H10+H11+H12+H13+H14+H15+H16+H17+H18+H19)-I19</f>
        <v>-8317225.6999999993</v>
      </c>
      <c r="K19" s="320">
        <f>799182.1+12376189.6</f>
        <v>13175371.699999999</v>
      </c>
      <c r="L19" s="321">
        <f>L8*12</f>
        <v>20878000</v>
      </c>
      <c r="M19" s="296">
        <f>SUM(K8+K9+K10+K11+K12+K13+K14+K15+K16+K17+K18+K19)-L19</f>
        <v>16988967.400000006</v>
      </c>
    </row>
    <row r="20" spans="1:14" ht="12.75" customHeight="1" thickBot="1" x14ac:dyDescent="0.3">
      <c r="A20" s="306" t="s">
        <v>19</v>
      </c>
      <c r="B20" s="342">
        <f>SUM(B8:B19)</f>
        <v>1366839302.8000002</v>
      </c>
      <c r="C20" s="307">
        <v>1229976000</v>
      </c>
      <c r="D20" s="318"/>
      <c r="E20" s="342">
        <f>SUM(E8:E19)</f>
        <v>92462322.680000007</v>
      </c>
      <c r="F20" s="307">
        <v>86125000</v>
      </c>
      <c r="G20" s="319"/>
      <c r="H20" s="342">
        <f>SUM(H8:H19)</f>
        <v>32126774.300000001</v>
      </c>
      <c r="I20" s="307">
        <v>40444000</v>
      </c>
      <c r="J20" s="319"/>
      <c r="K20" s="342">
        <f>SUM(K8:K19)</f>
        <v>37866967.400000006</v>
      </c>
      <c r="L20" s="307">
        <v>20878000</v>
      </c>
      <c r="M20" s="319"/>
    </row>
    <row r="21" spans="1:14" x14ac:dyDescent="0.25">
      <c r="A21" s="156"/>
      <c r="B21" s="158"/>
      <c r="C21" s="158"/>
      <c r="D21" s="158"/>
      <c r="E21" s="158"/>
      <c r="F21" s="158"/>
      <c r="G21" s="158"/>
      <c r="H21" s="156"/>
      <c r="I21" s="158"/>
      <c r="J21" s="156"/>
      <c r="K21" s="156"/>
      <c r="L21" s="158"/>
      <c r="M21" s="156"/>
    </row>
    <row r="22" spans="1:14" x14ac:dyDescent="0.25">
      <c r="A22" s="156"/>
      <c r="B22" s="158"/>
      <c r="C22" s="158"/>
      <c r="D22" s="341"/>
      <c r="E22" s="170"/>
      <c r="F22" s="158"/>
      <c r="G22" s="158"/>
      <c r="H22" s="156"/>
      <c r="I22" s="158"/>
      <c r="J22" s="171"/>
      <c r="K22" s="156"/>
      <c r="L22" s="158"/>
      <c r="M22" s="156"/>
    </row>
    <row r="23" spans="1:14" ht="15.75" thickBot="1" x14ac:dyDescent="0.3">
      <c r="A23" s="172"/>
      <c r="B23" s="158"/>
      <c r="C23" s="173"/>
      <c r="D23" s="158"/>
      <c r="E23" s="158"/>
      <c r="F23" s="158"/>
      <c r="G23" s="158"/>
      <c r="M23" s="174" t="s">
        <v>59</v>
      </c>
    </row>
    <row r="24" spans="1:14" x14ac:dyDescent="0.25">
      <c r="A24" s="595" t="s">
        <v>2</v>
      </c>
      <c r="B24" s="613" t="s">
        <v>36</v>
      </c>
      <c r="C24" s="599"/>
      <c r="D24" s="600"/>
      <c r="E24" s="614" t="s">
        <v>20</v>
      </c>
      <c r="F24" s="615"/>
      <c r="G24" s="616"/>
      <c r="H24" s="620" t="s">
        <v>21</v>
      </c>
      <c r="I24" s="615"/>
      <c r="J24" s="616"/>
      <c r="K24" s="621" t="s">
        <v>22</v>
      </c>
      <c r="L24" s="615"/>
      <c r="M24" s="616"/>
    </row>
    <row r="25" spans="1:14" ht="15.75" thickBot="1" x14ac:dyDescent="0.3">
      <c r="A25" s="596"/>
      <c r="B25" s="601"/>
      <c r="C25" s="602"/>
      <c r="D25" s="603"/>
      <c r="E25" s="617"/>
      <c r="F25" s="618"/>
      <c r="G25" s="619"/>
      <c r="H25" s="617"/>
      <c r="I25" s="618"/>
      <c r="J25" s="619"/>
      <c r="K25" s="617"/>
      <c r="L25" s="618"/>
      <c r="M25" s="619"/>
    </row>
    <row r="26" spans="1:14" ht="12.75" customHeight="1" x14ac:dyDescent="0.25">
      <c r="A26" s="596"/>
      <c r="B26" s="607" t="s">
        <v>23</v>
      </c>
      <c r="C26" s="609" t="s">
        <v>31</v>
      </c>
      <c r="D26" s="611" t="s">
        <v>32</v>
      </c>
      <c r="E26" s="627" t="s">
        <v>24</v>
      </c>
      <c r="F26" s="609" t="s">
        <v>31</v>
      </c>
      <c r="G26" s="611" t="s">
        <v>32</v>
      </c>
      <c r="H26" s="627" t="s">
        <v>25</v>
      </c>
      <c r="I26" s="609" t="s">
        <v>31</v>
      </c>
      <c r="J26" s="611" t="s">
        <v>32</v>
      </c>
      <c r="K26" s="630" t="s">
        <v>19</v>
      </c>
      <c r="L26" s="609" t="s">
        <v>31</v>
      </c>
      <c r="M26" s="611" t="s">
        <v>32</v>
      </c>
      <c r="N26" s="622" t="s">
        <v>37</v>
      </c>
    </row>
    <row r="27" spans="1:14" ht="15.75" thickBot="1" x14ac:dyDescent="0.3">
      <c r="A27" s="597"/>
      <c r="B27" s="608"/>
      <c r="C27" s="610"/>
      <c r="D27" s="612"/>
      <c r="E27" s="628"/>
      <c r="F27" s="610"/>
      <c r="G27" s="612"/>
      <c r="H27" s="628"/>
      <c r="I27" s="629"/>
      <c r="J27" s="612"/>
      <c r="K27" s="608"/>
      <c r="L27" s="610"/>
      <c r="M27" s="612"/>
      <c r="N27" s="623"/>
    </row>
    <row r="28" spans="1:14" s="161" customFormat="1" ht="12.75" x14ac:dyDescent="0.2">
      <c r="A28" s="282" t="s">
        <v>7</v>
      </c>
      <c r="B28" s="283">
        <f>6511953.16+4350902.57</f>
        <v>10862855.73</v>
      </c>
      <c r="C28" s="284">
        <f>C40/12</f>
        <v>12579750</v>
      </c>
      <c r="D28" s="285">
        <f>B28-C28</f>
        <v>-1716894.2699999996</v>
      </c>
      <c r="E28" s="286">
        <f>47162060.59+3823023.11</f>
        <v>50985083.700000003</v>
      </c>
      <c r="F28" s="284">
        <f>F40/12</f>
        <v>119640083.33333333</v>
      </c>
      <c r="G28" s="285">
        <f>E28-F28</f>
        <v>-68654999.633333325</v>
      </c>
      <c r="H28" s="287">
        <f>222437010.83+13852655.11</f>
        <v>236289665.94</v>
      </c>
      <c r="I28" s="288">
        <f>I40/12</f>
        <v>222172000</v>
      </c>
      <c r="J28" s="289">
        <f>H28-I28</f>
        <v>14117665.939999998</v>
      </c>
      <c r="K28" s="290">
        <f>SUM($B8+$E8+$H8+$K8+$B28+$E28+$H28)</f>
        <v>442180712.37</v>
      </c>
      <c r="L28" s="288">
        <f>L40/12</f>
        <v>469177083.33333331</v>
      </c>
      <c r="M28" s="291">
        <f>K28-L28</f>
        <v>-26996370.963333309</v>
      </c>
      <c r="N28" s="292">
        <f>M28/L40</f>
        <v>-4.7949860728373362E-3</v>
      </c>
    </row>
    <row r="29" spans="1:14" s="161" customFormat="1" ht="12.75" x14ac:dyDescent="0.2">
      <c r="A29" s="293" t="s">
        <v>8</v>
      </c>
      <c r="B29" s="294">
        <f>12701319.44+4039640</f>
        <v>16740959.439999999</v>
      </c>
      <c r="C29" s="295">
        <f>C28*2</f>
        <v>25159500</v>
      </c>
      <c r="D29" s="296">
        <f>SUM(B28+B29)-C29</f>
        <v>2444315.1700000018</v>
      </c>
      <c r="E29" s="297">
        <f>5893634.71+5510561.29</f>
        <v>11404196</v>
      </c>
      <c r="F29" s="295">
        <f>F28*2</f>
        <v>239280166.66666666</v>
      </c>
      <c r="G29" s="296">
        <f>SUM(E28+E29)-F29</f>
        <v>-176890886.96666664</v>
      </c>
      <c r="H29" s="298">
        <f>313449758.59+11908662.44</f>
        <v>325358421.02999997</v>
      </c>
      <c r="I29" s="299">
        <f>I28*2</f>
        <v>444344000</v>
      </c>
      <c r="J29" s="296">
        <f>SUM(H28+H29)-I29</f>
        <v>117304086.97000003</v>
      </c>
      <c r="K29" s="300">
        <f t="shared" ref="K29:K40" si="0">SUM($B9+$E9+$H9+$K9+$B29+$E29+$H29)</f>
        <v>475902409.53999996</v>
      </c>
      <c r="L29" s="299">
        <f>L28*2</f>
        <v>938354166.66666663</v>
      </c>
      <c r="M29" s="296">
        <f>SUM(K28+K29)-L29</f>
        <v>-20271044.75666666</v>
      </c>
      <c r="N29" s="301">
        <f>M29/L40</f>
        <v>-3.6004608701701401E-3</v>
      </c>
    </row>
    <row r="30" spans="1:14" s="161" customFormat="1" ht="12.75" x14ac:dyDescent="0.2">
      <c r="A30" s="293" t="s">
        <v>9</v>
      </c>
      <c r="B30" s="294">
        <f>3915335.81+4669719.5</f>
        <v>8585055.3100000005</v>
      </c>
      <c r="C30" s="299">
        <f>C28*3</f>
        <v>37739250</v>
      </c>
      <c r="D30" s="296">
        <f>SUM(B28+B29+B30)-C30</f>
        <v>-1550379.5199999958</v>
      </c>
      <c r="E30" s="302">
        <f>5455953.15+241559429.22</f>
        <v>247015382.37</v>
      </c>
      <c r="F30" s="299">
        <f>F28*3</f>
        <v>358920250</v>
      </c>
      <c r="G30" s="296">
        <f>SUM(E28+E29+E30)-F30</f>
        <v>-49515587.930000007</v>
      </c>
      <c r="H30" s="298">
        <f>88078846.83+16220074.46</f>
        <v>104298921.28999999</v>
      </c>
      <c r="I30" s="299">
        <f>I28*3</f>
        <v>666516000</v>
      </c>
      <c r="J30" s="296">
        <f>SUM(H28+H29+H30)-I30</f>
        <v>-568991.74000000954</v>
      </c>
      <c r="K30" s="303">
        <f t="shared" si="0"/>
        <v>467891212.87</v>
      </c>
      <c r="L30" s="299">
        <f>L28*3</f>
        <v>1407531250</v>
      </c>
      <c r="M30" s="296">
        <f>SUM(K28+K29+K30)-L30</f>
        <v>-21556915.220000029</v>
      </c>
      <c r="N30" s="301">
        <f>M30/L40</f>
        <v>-3.8288519739792686E-3</v>
      </c>
    </row>
    <row r="31" spans="1:14" s="161" customFormat="1" ht="12.75" x14ac:dyDescent="0.2">
      <c r="A31" s="293" t="s">
        <v>10</v>
      </c>
      <c r="B31" s="294">
        <f>5108418.02+5399498.61</f>
        <v>10507916.629999999</v>
      </c>
      <c r="C31" s="295">
        <f>C28*4</f>
        <v>50319000</v>
      </c>
      <c r="D31" s="296">
        <f>SUM(B28+B29+B30+B31)-C31</f>
        <v>-3622212.8900000006</v>
      </c>
      <c r="E31" s="297">
        <f>64826204.74+19353599.88</f>
        <v>84179804.620000005</v>
      </c>
      <c r="F31" s="295">
        <f>F28*4</f>
        <v>478560333.33333331</v>
      </c>
      <c r="G31" s="296">
        <f>SUM(E28+E29+E30+E31)-F31</f>
        <v>-84975866.643333316</v>
      </c>
      <c r="H31" s="304">
        <f>178309645.23+18083056.86</f>
        <v>196392702.08999997</v>
      </c>
      <c r="I31" s="295">
        <f>I28*4</f>
        <v>888688000</v>
      </c>
      <c r="J31" s="296">
        <f>SUM(H28+H29+H30+H31)-I31</f>
        <v>-26348289.650000095</v>
      </c>
      <c r="K31" s="303">
        <f t="shared" si="0"/>
        <v>384602172</v>
      </c>
      <c r="L31" s="295">
        <f>L28*4</f>
        <v>1876708333.3333333</v>
      </c>
      <c r="M31" s="296">
        <f>SUM(K28+K29+K30+K31)-L31</f>
        <v>-106131826.55333328</v>
      </c>
      <c r="N31" s="301">
        <f>M31/L40</f>
        <v>-1.8850705189197983E-2</v>
      </c>
    </row>
    <row r="32" spans="1:14" s="161" customFormat="1" ht="12.75" x14ac:dyDescent="0.2">
      <c r="A32" s="293" t="s">
        <v>11</v>
      </c>
      <c r="B32" s="294">
        <f>5284747.04+4546150.92</f>
        <v>9830897.9600000009</v>
      </c>
      <c r="C32" s="295">
        <f>C28*5</f>
        <v>62898750</v>
      </c>
      <c r="D32" s="296">
        <f>SUM(B28+B29+B30+B31+B32)-C32</f>
        <v>-6371064.9299999997</v>
      </c>
      <c r="E32" s="302">
        <f>2868878.73</f>
        <v>2868878.73</v>
      </c>
      <c r="F32" s="295">
        <f>F28*5</f>
        <v>598200416.66666663</v>
      </c>
      <c r="G32" s="296">
        <f>SUM(E28+E29+E30+E31+E32)-F32</f>
        <v>-201747071.24666661</v>
      </c>
      <c r="H32" s="304">
        <f>267937511.28+9358924.44</f>
        <v>277296435.72000003</v>
      </c>
      <c r="I32" s="295">
        <f>I28*5</f>
        <v>1110860000</v>
      </c>
      <c r="J32" s="296">
        <f>SUM(H28+H29+H30+H31+H32)-I32</f>
        <v>28776146.069999933</v>
      </c>
      <c r="K32" s="303">
        <f t="shared" si="0"/>
        <v>394608473.08000004</v>
      </c>
      <c r="L32" s="295">
        <f>L28*5</f>
        <v>2345885416.6666665</v>
      </c>
      <c r="M32" s="296">
        <f>SUM(K28+K29+K30+K31+K32)-L32</f>
        <v>-180700436.80666637</v>
      </c>
      <c r="N32" s="301">
        <f>M32/L40</f>
        <v>-3.209527973298397E-2</v>
      </c>
    </row>
    <row r="33" spans="1:14" ht="12.75" customHeight="1" x14ac:dyDescent="0.25">
      <c r="A33" s="293" t="s">
        <v>12</v>
      </c>
      <c r="B33" s="294">
        <f>6578353+5354330.86</f>
        <v>11932683.859999999</v>
      </c>
      <c r="C33" s="295">
        <f>C28*6</f>
        <v>75478500</v>
      </c>
      <c r="D33" s="296">
        <f>SUM(B28+B29+B30+B31+B32+B33)-C33</f>
        <v>-7018131.0699999928</v>
      </c>
      <c r="E33" s="297">
        <f>11290201.64+252047813.27</f>
        <v>263338014.91000003</v>
      </c>
      <c r="F33" s="295">
        <f>F28*6</f>
        <v>717840500</v>
      </c>
      <c r="G33" s="296">
        <f>SUM(E28+E29+E30+E31+E32+E33)-F33</f>
        <v>-58049139.669999957</v>
      </c>
      <c r="H33" s="304">
        <f>185873237.38+10104326.69</f>
        <v>195977564.06999999</v>
      </c>
      <c r="I33" s="295">
        <f>I28*6</f>
        <v>1333032000</v>
      </c>
      <c r="J33" s="296">
        <f>SUM(H28+H29+H30+H31+H32+H33)-I33</f>
        <v>2581710.1399998665</v>
      </c>
      <c r="K33" s="303">
        <f t="shared" si="0"/>
        <v>594824476.20000005</v>
      </c>
      <c r="L33" s="295">
        <f>L28*6</f>
        <v>2815062500</v>
      </c>
      <c r="M33" s="296">
        <f>SUM(K28+K29+K30+K31+K32+K33)-L33</f>
        <v>-55053043.93999958</v>
      </c>
      <c r="N33" s="301">
        <f>M33/L40</f>
        <v>-9.778298694966733E-3</v>
      </c>
    </row>
    <row r="34" spans="1:14" ht="12.75" customHeight="1" x14ac:dyDescent="0.25">
      <c r="A34" s="293" t="s">
        <v>13</v>
      </c>
      <c r="B34" s="294">
        <f>8976545.85+6053604.47</f>
        <v>15030150.32</v>
      </c>
      <c r="C34" s="295">
        <f>C28*7</f>
        <v>88058250</v>
      </c>
      <c r="D34" s="296">
        <f>SUM(B28+B29+B30+B31+B32+B33+B34)-C34</f>
        <v>-4567730.75</v>
      </c>
      <c r="E34" s="302">
        <f>196935738.73+104884134.51</f>
        <v>301819873.24000001</v>
      </c>
      <c r="F34" s="295">
        <f>F28*7</f>
        <v>837480583.33333325</v>
      </c>
      <c r="G34" s="296">
        <f>SUM(E28+E29+E30+E31+E32+E33+E34)-F34</f>
        <v>124130650.2366668</v>
      </c>
      <c r="H34" s="304">
        <f>186217971.27+28610969.91</f>
        <v>214828941.18000001</v>
      </c>
      <c r="I34" s="295">
        <f>I28*7</f>
        <v>1555204000</v>
      </c>
      <c r="J34" s="296">
        <f>SUM(H28+H29+H30+H31+H32+H33+H34)-I34</f>
        <v>-4761348.6800000668</v>
      </c>
      <c r="K34" s="303">
        <f t="shared" si="0"/>
        <v>664661395.36000001</v>
      </c>
      <c r="L34" s="295">
        <f>L28*7</f>
        <v>3284239583.333333</v>
      </c>
      <c r="M34" s="296">
        <f>SUM(K28+K29+K30+K31+K32+K33+K34)-L34</f>
        <v>140431268.08666754</v>
      </c>
      <c r="N34" s="301">
        <f>M34/L40</f>
        <v>2.4942833078602612E-2</v>
      </c>
    </row>
    <row r="35" spans="1:14" ht="12.75" customHeight="1" x14ac:dyDescent="0.25">
      <c r="A35" s="293" t="s">
        <v>14</v>
      </c>
      <c r="B35" s="294">
        <f>9222860.16+5377646.92</f>
        <v>14600507.08</v>
      </c>
      <c r="C35" s="295">
        <f>C28*8</f>
        <v>100638000</v>
      </c>
      <c r="D35" s="296">
        <f>SUM(B28+B29+B30+B31+B32+B33+B34+B35)-C35</f>
        <v>-2546973.6700000018</v>
      </c>
      <c r="E35" s="297">
        <v>0</v>
      </c>
      <c r="F35" s="295">
        <f>F28*8</f>
        <v>957120666.66666663</v>
      </c>
      <c r="G35" s="296">
        <f>SUM(E28+E29+E30+E31+E32+E33+E34+E35)-F35</f>
        <v>4490566.9033334255</v>
      </c>
      <c r="H35" s="304">
        <f>294084795.52+18736565.07</f>
        <v>312821360.58999997</v>
      </c>
      <c r="I35" s="295">
        <f>I28*8</f>
        <v>1777376000</v>
      </c>
      <c r="J35" s="296">
        <f>SUM(H28+H29+H30+H31+H32+H33+H34+H35)-I35</f>
        <v>85888011.909999847</v>
      </c>
      <c r="K35" s="303">
        <f t="shared" si="0"/>
        <v>457898008.63999999</v>
      </c>
      <c r="L35" s="295">
        <f>L28*8</f>
        <v>3753416666.6666665</v>
      </c>
      <c r="M35" s="296">
        <f>SUM(K28+K29+K30+K31+K32+K33+K34+K35)-L35</f>
        <v>129152193.39333391</v>
      </c>
      <c r="N35" s="301">
        <f>M35/L40</f>
        <v>2.2939489512814354E-2</v>
      </c>
    </row>
    <row r="36" spans="1:14" ht="12.75" customHeight="1" x14ac:dyDescent="0.25">
      <c r="A36" s="293" t="s">
        <v>15</v>
      </c>
      <c r="B36" s="294">
        <f>11399864.54+4456297.46</f>
        <v>15856162</v>
      </c>
      <c r="C36" s="295">
        <f>C28*9</f>
        <v>113217750</v>
      </c>
      <c r="D36" s="296">
        <f>SUM(B28+B29+B30+B31+B32+B33+B34+B35+B36)-C36</f>
        <v>729438.32999999821</v>
      </c>
      <c r="E36" s="302">
        <f>222181781.76</f>
        <v>222181781.75999999</v>
      </c>
      <c r="F36" s="295">
        <f>F28*9</f>
        <v>1076760750</v>
      </c>
      <c r="G36" s="296">
        <f>SUM(E28+E29+E30+E31+E32+E33+E34+E35+E36)-F36</f>
        <v>107032265.32999992</v>
      </c>
      <c r="H36" s="304">
        <f>152376226.08</f>
        <v>152376226.08000001</v>
      </c>
      <c r="I36" s="295">
        <f>I28*9</f>
        <v>1999548000</v>
      </c>
      <c r="J36" s="296">
        <f>SUM(H28+H29+H30+H31+H32+H33+H34+H35+H36)-I36</f>
        <v>16092237.989999771</v>
      </c>
      <c r="K36" s="303">
        <f t="shared" si="0"/>
        <v>529972967.44000006</v>
      </c>
      <c r="L36" s="295">
        <f>L28*9</f>
        <v>4222593750</v>
      </c>
      <c r="M36" s="296">
        <f>SUM(K28+K29+K30+K31+K32+K33+K34+K35+K36)-L36</f>
        <v>189948077.5</v>
      </c>
      <c r="N36" s="301">
        <f>M36/L40</f>
        <v>3.373780821917808E-2</v>
      </c>
    </row>
    <row r="37" spans="1:14" s="161" customFormat="1" ht="12.75" customHeight="1" x14ac:dyDescent="0.2">
      <c r="A37" s="293" t="s">
        <v>16</v>
      </c>
      <c r="B37" s="294">
        <f>8128099.49+4903118.86</f>
        <v>13031218.350000001</v>
      </c>
      <c r="C37" s="295">
        <f>C28*10</f>
        <v>125797500</v>
      </c>
      <c r="D37" s="296">
        <f>SUM(B28+B29+B30+B31+B32+B33+B34+B35+B36+B37)-C37</f>
        <v>1180906.6800000072</v>
      </c>
      <c r="E37" s="297">
        <f>68573630.51+8587882.81</f>
        <v>77161513.320000008</v>
      </c>
      <c r="F37" s="295">
        <f>F28*10</f>
        <v>1196400833.3333333</v>
      </c>
      <c r="G37" s="296">
        <f>SUM(E28+E29+E30+E31+E32+E33+E34+E35+E36+E37)-F37</f>
        <v>64553695.316666603</v>
      </c>
      <c r="H37" s="304">
        <f>217640678.64+17445860.32</f>
        <v>235086538.95999998</v>
      </c>
      <c r="I37" s="295">
        <f>I28*10</f>
        <v>2221720000</v>
      </c>
      <c r="J37" s="296">
        <f>SUM(H28+H29+H30+H31+H32+H33+H34+H35+H36+H37)-I37</f>
        <v>29006776.949999809</v>
      </c>
      <c r="K37" s="303">
        <f t="shared" si="0"/>
        <v>454371140.25</v>
      </c>
      <c r="L37" s="295">
        <f>L28*10</f>
        <v>4691770833.333333</v>
      </c>
      <c r="M37" s="296">
        <f>SUM(K28+K29+K30+K31+K32+K33+K34+K35+K36+K37)-L37</f>
        <v>175142134.41666698</v>
      </c>
      <c r="N37" s="301">
        <f>M37/L40</f>
        <v>3.1108036574084411E-2</v>
      </c>
    </row>
    <row r="38" spans="1:14" ht="12.75" customHeight="1" x14ac:dyDescent="0.25">
      <c r="A38" s="293" t="s">
        <v>17</v>
      </c>
      <c r="B38" s="294">
        <f>5910025.21+5313930.32</f>
        <v>11223955.530000001</v>
      </c>
      <c r="C38" s="295">
        <f>C28*11</f>
        <v>138377250</v>
      </c>
      <c r="D38" s="296">
        <f>SUM(B28+B29+B30+B31+B32+B33+B34+B35+B36+B37+B38)-C38</f>
        <v>-174887.78999999166</v>
      </c>
      <c r="E38" s="297">
        <f>6894348.5+2828218.92</f>
        <v>9722567.4199999999</v>
      </c>
      <c r="F38" s="295">
        <f>F28*11</f>
        <v>1316040916.6666665</v>
      </c>
      <c r="G38" s="296">
        <f>SUM(E28+E29+E30+E31+E32+E33+E34+E35+E36+E37+E38)-F38</f>
        <v>-45363820.596666574</v>
      </c>
      <c r="H38" s="304">
        <f>321325216.8</f>
        <v>321325216.80000001</v>
      </c>
      <c r="I38" s="295">
        <f>I28*11</f>
        <v>2443892000</v>
      </c>
      <c r="J38" s="296">
        <f>SUM(H28+H29+H30+H31+H32+H33+H34+H35+H36+H37+H38)-I38</f>
        <v>128159993.75</v>
      </c>
      <c r="K38" s="303">
        <f t="shared" si="0"/>
        <v>474712617.55999994</v>
      </c>
      <c r="L38" s="295">
        <f>L28*11</f>
        <v>5160947916.666666</v>
      </c>
      <c r="M38" s="296">
        <f>SUM(K28+K29+K30+K31+K32+K33+K34+K35+K36+K37+K38)-L38</f>
        <v>180677668.64333344</v>
      </c>
      <c r="N38" s="301">
        <f>M38/L40</f>
        <v>3.209123574402583E-2</v>
      </c>
    </row>
    <row r="39" spans="1:14" ht="12.75" customHeight="1" thickBot="1" x14ac:dyDescent="0.3">
      <c r="A39" s="329" t="s">
        <v>18</v>
      </c>
      <c r="B39" s="323">
        <f>4703304.89+6080365.47</f>
        <v>10783670.359999999</v>
      </c>
      <c r="C39" s="321">
        <f>C28*12</f>
        <v>150957000</v>
      </c>
      <c r="D39" s="296">
        <f>SUM(B28+B29+B30+B31+B32+B33+B34+B35+B36+B37+B38+B39)-C39</f>
        <v>-1970967.4300000072</v>
      </c>
      <c r="E39" s="324">
        <f>3684367.81+265140065.64</f>
        <v>268824433.44999999</v>
      </c>
      <c r="F39" s="321">
        <f>F28*12</f>
        <v>1435681000</v>
      </c>
      <c r="G39" s="325">
        <f>SUM(E28+E29+E30+E31+E32+E33+E34+E35+E36+E37+E38+E39)-F39</f>
        <v>103820529.51999998</v>
      </c>
      <c r="H39" s="326">
        <f>223840749.75+18115195.52</f>
        <v>241955945.27000001</v>
      </c>
      <c r="I39" s="321">
        <f>I28*12</f>
        <v>2666064000</v>
      </c>
      <c r="J39" s="296">
        <f>SUM(H28+H29+H30+H31+H32+H33+H34+H35+H36+H37+H38+H39)-I39</f>
        <v>147943939.01999998</v>
      </c>
      <c r="K39" s="305">
        <f t="shared" si="0"/>
        <v>690165282.98000002</v>
      </c>
      <c r="L39" s="327">
        <f>L28*12</f>
        <v>5630125000</v>
      </c>
      <c r="M39" s="328">
        <f>SUM(K28+K29+K30+K31+K32+K33+K34+K35+K36+K37+K38+K39)-L39</f>
        <v>401665868.28999901</v>
      </c>
      <c r="N39" s="301">
        <f>M39/L40</f>
        <v>7.1342264743677802E-2</v>
      </c>
    </row>
    <row r="40" spans="1:14" ht="12.75" customHeight="1" thickBot="1" x14ac:dyDescent="0.3">
      <c r="A40" s="306" t="s">
        <v>19</v>
      </c>
      <c r="B40" s="342">
        <f>SUM(B28:B39)</f>
        <v>148986032.56999999</v>
      </c>
      <c r="C40" s="307">
        <v>150957000</v>
      </c>
      <c r="D40" s="308"/>
      <c r="E40" s="344">
        <f>SUM(E28:E39)</f>
        <v>1539501529.52</v>
      </c>
      <c r="F40" s="309">
        <v>1435681000</v>
      </c>
      <c r="G40" s="310"/>
      <c r="H40" s="342">
        <f>SUM(H28:H39)</f>
        <v>2814007939.02</v>
      </c>
      <c r="I40" s="307">
        <v>2666064000</v>
      </c>
      <c r="J40" s="311"/>
      <c r="K40" s="343">
        <f t="shared" si="0"/>
        <v>6031790868.2900009</v>
      </c>
      <c r="L40" s="312">
        <f>SUM(F20+I20+L20+O20+F40+I40+C20+C40)</f>
        <v>5630125000</v>
      </c>
      <c r="M40" s="313"/>
      <c r="N40" s="314"/>
    </row>
    <row r="41" spans="1:14" x14ac:dyDescent="0.25">
      <c r="A41" s="172"/>
      <c r="B41" s="158"/>
      <c r="C41" s="158"/>
      <c r="D41" s="158"/>
      <c r="E41" s="158"/>
      <c r="F41" s="158"/>
      <c r="G41" s="158"/>
      <c r="H41" s="156"/>
      <c r="I41" s="158"/>
      <c r="J41" s="158"/>
      <c r="K41" s="158"/>
      <c r="L41" s="158"/>
      <c r="M41" s="158"/>
    </row>
    <row r="42" spans="1:14" x14ac:dyDescent="0.25">
      <c r="A42" s="625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</row>
    <row r="43" spans="1:14" x14ac:dyDescent="0.25">
      <c r="K43" s="189"/>
      <c r="L43" s="190"/>
    </row>
    <row r="44" spans="1:14" x14ac:dyDescent="0.25">
      <c r="K44" s="189"/>
    </row>
    <row r="45" spans="1:14" x14ac:dyDescent="0.25">
      <c r="K45" s="189"/>
    </row>
    <row r="46" spans="1:14" x14ac:dyDescent="0.25">
      <c r="K46" s="189"/>
    </row>
    <row r="48" spans="1:14" x14ac:dyDescent="0.25">
      <c r="K48" s="191"/>
    </row>
  </sheetData>
  <mergeCells count="38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B24:D25"/>
    <mergeCell ref="E24:G25"/>
    <mergeCell ref="H24:J25"/>
    <mergeCell ref="K24:M25"/>
    <mergeCell ref="B26:B27"/>
    <mergeCell ref="C26:C27"/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706AF-B56A-4497-84DD-BBD5C70519F7}">
  <sheetPr>
    <tabColor theme="3" tint="-0.249977111117893"/>
  </sheetPr>
  <dimension ref="A1:S42"/>
  <sheetViews>
    <sheetView showGridLines="0" view="pageBreakPreview" zoomScale="160" zoomScaleNormal="160" zoomScaleSheetLayoutView="160" workbookViewId="0">
      <selection sqref="A1:O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6.25" x14ac:dyDescent="0.4">
      <c r="A1" s="512" t="s">
        <v>207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467"/>
      <c r="Q1" s="467"/>
      <c r="R1" s="468"/>
      <c r="S1" s="468"/>
    </row>
    <row r="2" spans="1:19" ht="12.75" customHeight="1" x14ac:dyDescent="0.25">
      <c r="E2" s="58"/>
    </row>
    <row r="3" spans="1:19" ht="12.75" customHeight="1" x14ac:dyDescent="0.25">
      <c r="A3" s="59"/>
    </row>
    <row r="39" spans="1:19" x14ac:dyDescent="0.2">
      <c r="K39" s="60"/>
    </row>
    <row r="40" spans="1:19" x14ac:dyDescent="0.2">
      <c r="K40" s="60"/>
    </row>
    <row r="42" spans="1:19" ht="26.25" x14ac:dyDescent="0.4">
      <c r="A42" s="513" t="s">
        <v>208</v>
      </c>
      <c r="B42" s="514"/>
      <c r="C42" s="514"/>
      <c r="D42" s="514"/>
      <c r="E42" s="514"/>
      <c r="F42" s="514"/>
      <c r="G42" s="514"/>
      <c r="H42" s="514"/>
      <c r="I42" s="514"/>
      <c r="J42" s="514"/>
      <c r="K42" s="514"/>
      <c r="L42" s="514"/>
      <c r="M42" s="514"/>
      <c r="N42" s="514"/>
      <c r="O42" s="514"/>
      <c r="P42" s="467"/>
      <c r="Q42" s="467"/>
      <c r="R42" s="468"/>
      <c r="S42" s="468"/>
    </row>
  </sheetData>
  <mergeCells count="2">
    <mergeCell ref="A1:O1"/>
    <mergeCell ref="A42:O42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rowBreaks count="1" manualBreakCount="1">
    <brk id="41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1" tint="4.9989318521683403E-2"/>
  </sheetPr>
  <dimension ref="A1:S49"/>
  <sheetViews>
    <sheetView showGridLines="0" topLeftCell="A40" zoomScaleNormal="100" workbookViewId="0">
      <selection activeCell="J79" sqref="J79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71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20.25" x14ac:dyDescent="0.3">
      <c r="B2" s="587" t="s">
        <v>76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92"/>
      <c r="P2" s="592"/>
      <c r="Q2" s="592"/>
      <c r="R2" s="592"/>
      <c r="S2" s="592"/>
    </row>
    <row r="3" spans="1:19" ht="12.75" customHeight="1" x14ac:dyDescent="0.25">
      <c r="A3" s="59"/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72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  <row r="49" spans="2:19" ht="20.25" x14ac:dyDescent="0.3">
      <c r="B49" s="587" t="s">
        <v>76</v>
      </c>
      <c r="C49" s="586"/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92"/>
      <c r="P49" s="592"/>
      <c r="Q49" s="592"/>
      <c r="R49" s="592"/>
      <c r="S49" s="592"/>
    </row>
  </sheetData>
  <mergeCells count="4">
    <mergeCell ref="B1:S1"/>
    <mergeCell ref="B2:S2"/>
    <mergeCell ref="B48:S48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1" tint="4.9989318521683403E-2"/>
    <pageSetUpPr fitToPage="1"/>
  </sheetPr>
  <dimension ref="A1:N48"/>
  <sheetViews>
    <sheetView showGridLines="0" topLeftCell="B4" zoomScale="120" zoomScaleNormal="120" workbookViewId="0">
      <selection activeCell="E40" sqref="E40"/>
    </sheetView>
  </sheetViews>
  <sheetFormatPr defaultColWidth="9.140625" defaultRowHeight="12.75" x14ac:dyDescent="0.2"/>
  <cols>
    <col min="1" max="1" width="8.7109375" style="66" customWidth="1"/>
    <col min="2" max="2" width="12.7109375" style="66" customWidth="1"/>
    <col min="3" max="4" width="12.5703125" style="66" customWidth="1"/>
    <col min="5" max="5" width="12.7109375" style="66" customWidth="1"/>
    <col min="6" max="7" width="12.5703125" style="66" customWidth="1"/>
    <col min="8" max="8" width="12.7109375" style="66" customWidth="1"/>
    <col min="9" max="10" width="12.5703125" style="66" customWidth="1"/>
    <col min="11" max="11" width="12.7109375" style="66" customWidth="1"/>
    <col min="12" max="13" width="12.570312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85" t="s">
        <v>73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20.25" x14ac:dyDescent="0.3">
      <c r="A2" s="587" t="s">
        <v>76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</row>
    <row r="3" spans="1:14" ht="13.5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x14ac:dyDescent="0.2">
      <c r="A4" s="567" t="s">
        <v>2</v>
      </c>
      <c r="B4" s="588" t="s">
        <v>27</v>
      </c>
      <c r="C4" s="571"/>
      <c r="D4" s="572"/>
      <c r="E4" s="589" t="s">
        <v>28</v>
      </c>
      <c r="F4" s="571"/>
      <c r="G4" s="572"/>
      <c r="H4" s="590" t="s">
        <v>29</v>
      </c>
      <c r="I4" s="571"/>
      <c r="J4" s="572"/>
      <c r="K4" s="591" t="s">
        <v>30</v>
      </c>
      <c r="L4" s="571"/>
      <c r="M4" s="572"/>
      <c r="N4" s="73"/>
    </row>
    <row r="5" spans="1:14" ht="13.5" thickBot="1" x14ac:dyDescent="0.25">
      <c r="A5" s="568"/>
      <c r="B5" s="573"/>
      <c r="C5" s="574"/>
      <c r="D5" s="575"/>
      <c r="E5" s="573"/>
      <c r="F5" s="574"/>
      <c r="G5" s="575"/>
      <c r="H5" s="573"/>
      <c r="I5" s="574"/>
      <c r="J5" s="575"/>
      <c r="K5" s="573"/>
      <c r="L5" s="574"/>
      <c r="M5" s="575"/>
      <c r="N5" s="71"/>
    </row>
    <row r="6" spans="1:14" x14ac:dyDescent="0.2">
      <c r="A6" s="568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55" t="s">
        <v>5</v>
      </c>
      <c r="I6" s="557" t="s">
        <v>31</v>
      </c>
      <c r="J6" s="559" t="s">
        <v>32</v>
      </c>
      <c r="K6" s="584" t="s">
        <v>6</v>
      </c>
      <c r="L6" s="557" t="s">
        <v>31</v>
      </c>
      <c r="M6" s="559" t="s">
        <v>32</v>
      </c>
    </row>
    <row r="7" spans="1:14" ht="13.5" thickBot="1" x14ac:dyDescent="0.25">
      <c r="A7" s="569"/>
      <c r="B7" s="556"/>
      <c r="C7" s="558"/>
      <c r="D7" s="560"/>
      <c r="E7" s="556"/>
      <c r="F7" s="558"/>
      <c r="G7" s="560"/>
      <c r="H7" s="556"/>
      <c r="I7" s="558"/>
      <c r="J7" s="560"/>
      <c r="K7" s="556"/>
      <c r="L7" s="558"/>
      <c r="M7" s="560"/>
    </row>
    <row r="8" spans="1:14" x14ac:dyDescent="0.2">
      <c r="A8" s="245" t="s">
        <v>7</v>
      </c>
      <c r="B8" s="247">
        <f>52522814.32+77600057.65</f>
        <v>130122871.97</v>
      </c>
      <c r="C8" s="248">
        <f>C20/12</f>
        <v>102498000</v>
      </c>
      <c r="D8" s="249">
        <f>B8-C8</f>
        <v>27624871.969999999</v>
      </c>
      <c r="E8" s="250">
        <f>3575667.79+5123816.6</f>
        <v>8699484.3900000006</v>
      </c>
      <c r="F8" s="248">
        <f>F20/12</f>
        <v>7177083.333333333</v>
      </c>
      <c r="G8" s="249">
        <f>E8-F8</f>
        <v>1522401.0566666676</v>
      </c>
      <c r="H8" s="250">
        <f>2078.7+1585908.61</f>
        <v>1587987.31</v>
      </c>
      <c r="I8" s="248">
        <f>I20/12</f>
        <v>3370333.3333333335</v>
      </c>
      <c r="J8" s="251">
        <f>H8-I8</f>
        <v>-1782346.0233333334</v>
      </c>
      <c r="K8" s="250">
        <f>2965508.48+667254.85</f>
        <v>3632763.33</v>
      </c>
      <c r="L8" s="248">
        <f>L20/12</f>
        <v>1739833.3333333333</v>
      </c>
      <c r="M8" s="251">
        <f>K8-L8</f>
        <v>1892929.9966666668</v>
      </c>
    </row>
    <row r="9" spans="1:14" x14ac:dyDescent="0.2">
      <c r="A9" s="246" t="s">
        <v>8</v>
      </c>
      <c r="B9" s="252">
        <f>50052761.98+63448240.9+B8</f>
        <v>243623874.84999999</v>
      </c>
      <c r="C9" s="253">
        <f>C8*2</f>
        <v>204996000</v>
      </c>
      <c r="D9" s="249">
        <f>B9-C9</f>
        <v>38627874.849999994</v>
      </c>
      <c r="E9" s="247">
        <f>3304909.64+4189393.21+E8</f>
        <v>16193787.24</v>
      </c>
      <c r="F9" s="253">
        <f>F8*2</f>
        <v>14354166.666666666</v>
      </c>
      <c r="G9" s="249">
        <f>E9-F9</f>
        <v>1839620.5733333342</v>
      </c>
      <c r="H9" s="247">
        <f>5994.6+H8</f>
        <v>1593981.9100000001</v>
      </c>
      <c r="I9" s="253">
        <f>I8*2</f>
        <v>6740666.666666667</v>
      </c>
      <c r="J9" s="249">
        <f>H9-I9</f>
        <v>-5146684.7566666668</v>
      </c>
      <c r="K9" s="252">
        <f>577290.86+820241.88+K8</f>
        <v>5030296.07</v>
      </c>
      <c r="L9" s="253">
        <f>L8*2</f>
        <v>3479666.6666666665</v>
      </c>
      <c r="M9" s="249">
        <f>K9-L9</f>
        <v>1550629.4033333338</v>
      </c>
    </row>
    <row r="10" spans="1:14" x14ac:dyDescent="0.2">
      <c r="A10" s="246" t="s">
        <v>9</v>
      </c>
      <c r="B10" s="252">
        <f>44661525.67+53601122.72+B9</f>
        <v>341886523.24000001</v>
      </c>
      <c r="C10" s="253">
        <f>C8*3</f>
        <v>307494000</v>
      </c>
      <c r="D10" s="249">
        <f t="shared" ref="D10:D19" si="0">B10-C10</f>
        <v>34392523.24000001</v>
      </c>
      <c r="E10" s="247">
        <f>2948934.3+3539202.64+E9</f>
        <v>22681924.18</v>
      </c>
      <c r="F10" s="254">
        <f>F8*3</f>
        <v>21531250</v>
      </c>
      <c r="G10" s="249">
        <f t="shared" ref="G10:G19" si="1">E10-F10</f>
        <v>1150674.1799999997</v>
      </c>
      <c r="H10" s="247">
        <f>945492.23+513+H9</f>
        <v>2539987.14</v>
      </c>
      <c r="I10" s="254">
        <f>I8*3</f>
        <v>10111000</v>
      </c>
      <c r="J10" s="249">
        <f t="shared" ref="J10:J19" si="2">H10-I10</f>
        <v>-7571012.8599999994</v>
      </c>
      <c r="K10" s="252">
        <f>1250556.85+1044506.49+K9</f>
        <v>7325359.4100000001</v>
      </c>
      <c r="L10" s="254">
        <f>L8*3</f>
        <v>5219500</v>
      </c>
      <c r="M10" s="249">
        <f t="shared" ref="M10:M19" si="3">K10-L10</f>
        <v>2105859.41</v>
      </c>
    </row>
    <row r="11" spans="1:14" x14ac:dyDescent="0.2">
      <c r="A11" s="246" t="s">
        <v>10</v>
      </c>
      <c r="B11" s="252">
        <f>35606158.7+51814261.01+B10</f>
        <v>429306942.95000005</v>
      </c>
      <c r="C11" s="253">
        <f>C8*4</f>
        <v>409992000</v>
      </c>
      <c r="D11" s="249">
        <f t="shared" si="0"/>
        <v>19314942.950000048</v>
      </c>
      <c r="E11" s="247">
        <f>2351021.81+3421218.8+E10</f>
        <v>28454164.789999999</v>
      </c>
      <c r="F11" s="253">
        <f>F8*4</f>
        <v>28708333.333333332</v>
      </c>
      <c r="G11" s="249">
        <f t="shared" si="1"/>
        <v>-254168.54333333299</v>
      </c>
      <c r="H11" s="247">
        <f>7746.55+321341.79+H10</f>
        <v>2869075.48</v>
      </c>
      <c r="I11" s="253">
        <f>I8*4</f>
        <v>13481333.333333334</v>
      </c>
      <c r="J11" s="249">
        <f t="shared" si="2"/>
        <v>-10612257.853333334</v>
      </c>
      <c r="K11" s="252">
        <f t="shared" ref="K11:K20" si="4">K10</f>
        <v>7325359.4100000001</v>
      </c>
      <c r="L11" s="253">
        <f>L8*4</f>
        <v>6959333.333333333</v>
      </c>
      <c r="M11" s="249">
        <f t="shared" si="3"/>
        <v>366026.07666666713</v>
      </c>
    </row>
    <row r="12" spans="1:14" x14ac:dyDescent="0.2">
      <c r="A12" s="246" t="s">
        <v>11</v>
      </c>
      <c r="B12" s="252">
        <f>31625290.89+66504376.4+B11</f>
        <v>527436610.24000001</v>
      </c>
      <c r="C12" s="253">
        <f>C8*5</f>
        <v>512490000</v>
      </c>
      <c r="D12" s="249">
        <f t="shared" si="0"/>
        <v>14946610.24000001</v>
      </c>
      <c r="E12" s="247">
        <f>2088171.06+4391185.3+E11</f>
        <v>34933521.149999999</v>
      </c>
      <c r="F12" s="253">
        <f>F8*5</f>
        <v>35885416.666666664</v>
      </c>
      <c r="G12" s="249">
        <f t="shared" si="1"/>
        <v>-951895.51666666567</v>
      </c>
      <c r="H12" s="247">
        <f>3237.02+H11</f>
        <v>2872312.5</v>
      </c>
      <c r="I12" s="253">
        <f>I8*5</f>
        <v>16851666.666666668</v>
      </c>
      <c r="J12" s="249">
        <f t="shared" si="2"/>
        <v>-13979354.166666668</v>
      </c>
      <c r="K12" s="252">
        <f t="shared" si="4"/>
        <v>7325359.4100000001</v>
      </c>
      <c r="L12" s="253">
        <f>L8*5</f>
        <v>8699166.666666666</v>
      </c>
      <c r="M12" s="249">
        <f t="shared" si="3"/>
        <v>-1373807.2566666659</v>
      </c>
    </row>
    <row r="13" spans="1:14" x14ac:dyDescent="0.2">
      <c r="A13" s="246" t="s">
        <v>12</v>
      </c>
      <c r="B13" s="252">
        <f>51115877.7+64336207.93+B12</f>
        <v>642888695.87</v>
      </c>
      <c r="C13" s="253">
        <f>C8*6</f>
        <v>614988000</v>
      </c>
      <c r="D13" s="249">
        <f t="shared" si="0"/>
        <v>27900695.870000005</v>
      </c>
      <c r="E13" s="247">
        <f>3375105.57+4733333.98+E12</f>
        <v>43041960.700000003</v>
      </c>
      <c r="F13" s="253">
        <f>F8*6</f>
        <v>43062500</v>
      </c>
      <c r="G13" s="249">
        <f t="shared" si="1"/>
        <v>-20539.29999999702</v>
      </c>
      <c r="H13" s="247">
        <f>6023.2+4445.1+5219.88+H12</f>
        <v>2888000.68</v>
      </c>
      <c r="I13" s="253">
        <f>I8*6</f>
        <v>20222000</v>
      </c>
      <c r="J13" s="249">
        <f t="shared" si="2"/>
        <v>-17333999.32</v>
      </c>
      <c r="K13" s="252">
        <f t="shared" si="4"/>
        <v>7325359.4100000001</v>
      </c>
      <c r="L13" s="253">
        <f>L8*6</f>
        <v>10439000</v>
      </c>
      <c r="M13" s="249">
        <f t="shared" si="3"/>
        <v>-3113640.59</v>
      </c>
    </row>
    <row r="14" spans="1:14" x14ac:dyDescent="0.2">
      <c r="A14" s="246" t="s">
        <v>13</v>
      </c>
      <c r="B14" s="252">
        <f>48328572.05+69679955.73+B13</f>
        <v>760897223.64999998</v>
      </c>
      <c r="C14" s="253">
        <f>C8*7</f>
        <v>717486000</v>
      </c>
      <c r="D14" s="249">
        <f t="shared" si="0"/>
        <v>43411223.649999976</v>
      </c>
      <c r="E14" s="247">
        <f>3191063.92+5043255.17+E13</f>
        <v>51276279.790000007</v>
      </c>
      <c r="F14" s="253">
        <f>F8*7</f>
        <v>50239583.333333328</v>
      </c>
      <c r="G14" s="249">
        <f t="shared" si="1"/>
        <v>1036696.4566666782</v>
      </c>
      <c r="H14" s="247">
        <f>100076.37+883.8+756+9532.8+H13</f>
        <v>2999249.6500000004</v>
      </c>
      <c r="I14" s="253">
        <f>I8*7</f>
        <v>23592333.333333336</v>
      </c>
      <c r="J14" s="249">
        <f t="shared" si="2"/>
        <v>-20593083.683333337</v>
      </c>
      <c r="K14" s="252">
        <f>841114.61+5787220.17+K13</f>
        <v>13953694.190000001</v>
      </c>
      <c r="L14" s="253">
        <f>L8*7</f>
        <v>12178833.333333332</v>
      </c>
      <c r="M14" s="249">
        <f t="shared" si="3"/>
        <v>1774860.8566666692</v>
      </c>
    </row>
    <row r="15" spans="1:14" x14ac:dyDescent="0.2">
      <c r="A15" s="246" t="s">
        <v>14</v>
      </c>
      <c r="B15" s="252">
        <f>45422777.81+70333417.28+B14</f>
        <v>876653418.74000001</v>
      </c>
      <c r="C15" s="253">
        <f>C8*8</f>
        <v>819984000</v>
      </c>
      <c r="D15" s="249">
        <f t="shared" si="0"/>
        <v>56669418.74000001</v>
      </c>
      <c r="E15" s="247">
        <f>2999198.66+4644011.22+E14</f>
        <v>58919489.670000009</v>
      </c>
      <c r="F15" s="253">
        <f>F8*8</f>
        <v>57416666.666666664</v>
      </c>
      <c r="G15" s="249">
        <f t="shared" si="1"/>
        <v>1502823.0033333451</v>
      </c>
      <c r="H15" s="247">
        <f>3205642.16+1890+8613+3860590.84+H14</f>
        <v>10075985.65</v>
      </c>
      <c r="I15" s="253">
        <f>I8*8</f>
        <v>26962666.666666668</v>
      </c>
      <c r="J15" s="249">
        <f t="shared" si="2"/>
        <v>-16886681.016666666</v>
      </c>
      <c r="K15" s="252">
        <f t="shared" si="4"/>
        <v>13953694.190000001</v>
      </c>
      <c r="L15" s="253">
        <f>L8*8</f>
        <v>13918666.666666666</v>
      </c>
      <c r="M15" s="249">
        <f t="shared" si="3"/>
        <v>35027.523333335295</v>
      </c>
    </row>
    <row r="16" spans="1:14" x14ac:dyDescent="0.2">
      <c r="A16" s="246" t="s">
        <v>15</v>
      </c>
      <c r="B16" s="252">
        <f>48711961.71+64089261.24+B15</f>
        <v>989454641.69000006</v>
      </c>
      <c r="C16" s="253">
        <f>C8*9</f>
        <v>922482000</v>
      </c>
      <c r="D16" s="249">
        <f t="shared" si="0"/>
        <v>66972641.690000057</v>
      </c>
      <c r="E16" s="247">
        <f>3216378.55+5064461.33+E15</f>
        <v>67200329.550000012</v>
      </c>
      <c r="F16" s="253">
        <f>F8*9</f>
        <v>64593750</v>
      </c>
      <c r="G16" s="249">
        <f t="shared" si="1"/>
        <v>2606579.5500000119</v>
      </c>
      <c r="H16" s="247">
        <f>1342.8+2181512.86+10608079.9+H15</f>
        <v>22866921.210000001</v>
      </c>
      <c r="I16" s="253">
        <f>I8*9</f>
        <v>30333000</v>
      </c>
      <c r="J16" s="249">
        <f t="shared" si="2"/>
        <v>-7466078.7899999991</v>
      </c>
      <c r="K16" s="252">
        <f>5685799.21+K15</f>
        <v>19639493.400000002</v>
      </c>
      <c r="L16" s="253">
        <f>L8*9</f>
        <v>15658500</v>
      </c>
      <c r="M16" s="249">
        <f t="shared" si="3"/>
        <v>3980993.4000000022</v>
      </c>
    </row>
    <row r="17" spans="1:14" x14ac:dyDescent="0.2">
      <c r="A17" s="246" t="s">
        <v>16</v>
      </c>
      <c r="B17" s="252">
        <f>44702195.15+67964382.34+B16</f>
        <v>1102121219.1800001</v>
      </c>
      <c r="C17" s="253">
        <f>C8*10</f>
        <v>1024980000</v>
      </c>
      <c r="D17" s="249">
        <f t="shared" si="0"/>
        <v>77141219.180000067</v>
      </c>
      <c r="E17" s="247">
        <f>2990763.82+4560482.27+E16</f>
        <v>74751575.640000015</v>
      </c>
      <c r="F17" s="253">
        <f>F8*10</f>
        <v>71770833.333333328</v>
      </c>
      <c r="G17" s="249">
        <f t="shared" si="1"/>
        <v>2980742.3066666871</v>
      </c>
      <c r="H17" s="247">
        <f>5516057.17+735.6+H16</f>
        <v>28383713.98</v>
      </c>
      <c r="I17" s="253">
        <f>I8*10</f>
        <v>33703333.333333336</v>
      </c>
      <c r="J17" s="249">
        <f t="shared" si="2"/>
        <v>-5319619.3533333354</v>
      </c>
      <c r="K17" s="252">
        <f>2480746.65+876506.62+K16</f>
        <v>22996746.670000002</v>
      </c>
      <c r="L17" s="253">
        <f>L8*10</f>
        <v>17398333.333333332</v>
      </c>
      <c r="M17" s="249">
        <f t="shared" si="3"/>
        <v>5598413.3366666697</v>
      </c>
    </row>
    <row r="18" spans="1:14" x14ac:dyDescent="0.2">
      <c r="A18" s="246" t="s">
        <v>17</v>
      </c>
      <c r="B18" s="252">
        <f>48794708.35+73744225.88+B17</f>
        <v>1224660153.4100001</v>
      </c>
      <c r="C18" s="253">
        <f>C8*11</f>
        <v>1127478000</v>
      </c>
      <c r="D18" s="249">
        <f t="shared" si="0"/>
        <v>97182153.410000086</v>
      </c>
      <c r="E18" s="247">
        <f>3264570.11+4933797.14+E17</f>
        <v>82949942.890000015</v>
      </c>
      <c r="F18" s="253">
        <f>F8*11</f>
        <v>78947916.666666657</v>
      </c>
      <c r="G18" s="249">
        <f t="shared" si="1"/>
        <v>4002026.2233333588</v>
      </c>
      <c r="H18" s="247">
        <f>2488.2+5400+839.1+H17</f>
        <v>28392441.280000001</v>
      </c>
      <c r="I18" s="253">
        <f>I8*11</f>
        <v>37073666.666666672</v>
      </c>
      <c r="J18" s="249">
        <f t="shared" si="2"/>
        <v>-8681225.3866666704</v>
      </c>
      <c r="K18" s="252">
        <f>874709.55+820139.48+K17</f>
        <v>24691595.700000003</v>
      </c>
      <c r="L18" s="253">
        <f>L8*11</f>
        <v>19138166.666666664</v>
      </c>
      <c r="M18" s="249">
        <f t="shared" si="3"/>
        <v>5553429.0333333388</v>
      </c>
    </row>
    <row r="19" spans="1:14" ht="13.5" thickBot="1" x14ac:dyDescent="0.25">
      <c r="A19" s="339" t="s">
        <v>18</v>
      </c>
      <c r="B19" s="331">
        <f>46297373.81+95881775.58+B18</f>
        <v>1366839302.8000002</v>
      </c>
      <c r="C19" s="332">
        <f>C8*12</f>
        <v>1229976000</v>
      </c>
      <c r="D19" s="249">
        <f t="shared" si="0"/>
        <v>136863302.80000019</v>
      </c>
      <c r="E19" s="333">
        <f>3097487.96+6414891.83+E18</f>
        <v>92462322.680000007</v>
      </c>
      <c r="F19" s="332">
        <f>F8*12</f>
        <v>86125000</v>
      </c>
      <c r="G19" s="249">
        <f t="shared" si="1"/>
        <v>6337322.6800000072</v>
      </c>
      <c r="H19" s="333">
        <f>967.2+3722471.35+10894.47+H18</f>
        <v>32126774.300000001</v>
      </c>
      <c r="I19" s="332">
        <f>I8*12</f>
        <v>40444000</v>
      </c>
      <c r="J19" s="249">
        <f t="shared" si="2"/>
        <v>-8317225.6999999993</v>
      </c>
      <c r="K19" s="331">
        <f>799182.1+12376189.6+K18</f>
        <v>37866967.400000006</v>
      </c>
      <c r="L19" s="332">
        <f>L8*12</f>
        <v>20878000</v>
      </c>
      <c r="M19" s="249">
        <f t="shared" si="3"/>
        <v>16988967.400000006</v>
      </c>
    </row>
    <row r="20" spans="1:14" ht="13.5" thickBot="1" x14ac:dyDescent="0.25">
      <c r="A20" s="257" t="s">
        <v>19</v>
      </c>
      <c r="B20" s="345">
        <f t="shared" ref="B20" si="5">B19</f>
        <v>1366839302.8000002</v>
      </c>
      <c r="C20" s="258">
        <v>1229976000</v>
      </c>
      <c r="D20" s="259"/>
      <c r="E20" s="345">
        <f t="shared" ref="E20" si="6">E19</f>
        <v>92462322.680000007</v>
      </c>
      <c r="F20" s="258">
        <v>86125000</v>
      </c>
      <c r="G20" s="260"/>
      <c r="H20" s="345">
        <f t="shared" ref="H20" si="7">H19</f>
        <v>32126774.300000001</v>
      </c>
      <c r="I20" s="258">
        <v>40444000</v>
      </c>
      <c r="J20" s="260"/>
      <c r="K20" s="345">
        <f t="shared" si="4"/>
        <v>37866967.400000006</v>
      </c>
      <c r="L20" s="258">
        <v>20878000</v>
      </c>
      <c r="M20" s="260"/>
    </row>
    <row r="21" spans="1:14" ht="1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4" ht="15" customHeight="1" x14ac:dyDescent="0.2">
      <c r="A22" s="71"/>
      <c r="B22" s="73"/>
      <c r="C22" s="73"/>
      <c r="D22" s="91"/>
      <c r="E22" s="90"/>
      <c r="F22" s="73"/>
      <c r="G22" s="73"/>
      <c r="H22" s="71"/>
      <c r="I22" s="73"/>
      <c r="J22" s="91"/>
      <c r="K22" s="71"/>
      <c r="L22" s="73"/>
      <c r="M22" s="71"/>
    </row>
    <row r="23" spans="1:14" ht="15" customHeight="1" thickBot="1" x14ac:dyDescent="0.25">
      <c r="A23" s="92"/>
      <c r="B23" s="73"/>
      <c r="C23" s="93"/>
      <c r="D23" s="73"/>
      <c r="E23" s="73"/>
      <c r="F23" s="73"/>
      <c r="G23" s="73"/>
      <c r="M23" s="135" t="s">
        <v>26</v>
      </c>
    </row>
    <row r="24" spans="1:14" x14ac:dyDescent="0.2">
      <c r="A24" s="567" t="s">
        <v>2</v>
      </c>
      <c r="B24" s="570" t="s">
        <v>36</v>
      </c>
      <c r="C24" s="571"/>
      <c r="D24" s="572"/>
      <c r="E24" s="576" t="s">
        <v>20</v>
      </c>
      <c r="F24" s="577"/>
      <c r="G24" s="578"/>
      <c r="H24" s="582" t="s">
        <v>21</v>
      </c>
      <c r="I24" s="577"/>
      <c r="J24" s="578"/>
      <c r="K24" s="583" t="s">
        <v>22</v>
      </c>
      <c r="L24" s="577"/>
      <c r="M24" s="578"/>
    </row>
    <row r="25" spans="1:14" ht="13.5" thickBot="1" x14ac:dyDescent="0.25">
      <c r="A25" s="568"/>
      <c r="B25" s="573"/>
      <c r="C25" s="574"/>
      <c r="D25" s="575"/>
      <c r="E25" s="579"/>
      <c r="F25" s="580"/>
      <c r="G25" s="581"/>
      <c r="H25" s="579"/>
      <c r="I25" s="580"/>
      <c r="J25" s="581"/>
      <c r="K25" s="579"/>
      <c r="L25" s="580"/>
      <c r="M25" s="581"/>
    </row>
    <row r="26" spans="1:14" x14ac:dyDescent="0.2">
      <c r="A26" s="568"/>
      <c r="B26" s="584" t="s">
        <v>23</v>
      </c>
      <c r="C26" s="557" t="s">
        <v>31</v>
      </c>
      <c r="D26" s="559" t="s">
        <v>32</v>
      </c>
      <c r="E26" s="563" t="s">
        <v>24</v>
      </c>
      <c r="F26" s="557" t="s">
        <v>31</v>
      </c>
      <c r="G26" s="559" t="s">
        <v>32</v>
      </c>
      <c r="H26" s="563" t="s">
        <v>25</v>
      </c>
      <c r="I26" s="557" t="s">
        <v>31</v>
      </c>
      <c r="J26" s="559" t="s">
        <v>32</v>
      </c>
      <c r="K26" s="566" t="s">
        <v>19</v>
      </c>
      <c r="L26" s="557" t="s">
        <v>31</v>
      </c>
      <c r="M26" s="559" t="s">
        <v>32</v>
      </c>
      <c r="N26" s="553" t="s">
        <v>37</v>
      </c>
    </row>
    <row r="27" spans="1:14" ht="13.5" thickBot="1" x14ac:dyDescent="0.25">
      <c r="A27" s="569"/>
      <c r="B27" s="556"/>
      <c r="C27" s="558"/>
      <c r="D27" s="560"/>
      <c r="E27" s="564"/>
      <c r="F27" s="558"/>
      <c r="G27" s="560"/>
      <c r="H27" s="564"/>
      <c r="I27" s="565"/>
      <c r="J27" s="560"/>
      <c r="K27" s="556"/>
      <c r="L27" s="558"/>
      <c r="M27" s="560"/>
      <c r="N27" s="554"/>
    </row>
    <row r="28" spans="1:14" x14ac:dyDescent="0.2">
      <c r="A28" s="261" t="s">
        <v>7</v>
      </c>
      <c r="B28" s="250">
        <f>6511953.16+4350902.57</f>
        <v>10862855.73</v>
      </c>
      <c r="C28" s="248">
        <f>C40/12</f>
        <v>12579750</v>
      </c>
      <c r="D28" s="251">
        <f>B28-C28</f>
        <v>-1716894.2699999996</v>
      </c>
      <c r="E28" s="262">
        <f>47162060.59+3823023.11</f>
        <v>50985083.700000003</v>
      </c>
      <c r="F28" s="248">
        <f>F40/12</f>
        <v>119640083.33333333</v>
      </c>
      <c r="G28" s="251">
        <f>E28-F28</f>
        <v>-68654999.633333325</v>
      </c>
      <c r="H28" s="263">
        <f>222437010.83+13852655.11</f>
        <v>236289665.94</v>
      </c>
      <c r="I28" s="264">
        <f>I40/12</f>
        <v>222172000</v>
      </c>
      <c r="J28" s="265">
        <f>H28-I28</f>
        <v>14117665.939999998</v>
      </c>
      <c r="K28" s="266">
        <f>SUM($B8+$E8+$H8+$K8+$B28+$E28+$H28)</f>
        <v>442180712.37</v>
      </c>
      <c r="L28" s="264">
        <f>L40/12</f>
        <v>469177083.33333331</v>
      </c>
      <c r="M28" s="267">
        <f>K28-L28</f>
        <v>-26996370.963333309</v>
      </c>
      <c r="N28" s="268">
        <f>M28/L40</f>
        <v>-4.7949860728373362E-3</v>
      </c>
    </row>
    <row r="29" spans="1:14" x14ac:dyDescent="0.2">
      <c r="A29" s="269" t="s">
        <v>8</v>
      </c>
      <c r="B29" s="252">
        <f>12701319.44+4039640+B28</f>
        <v>27603815.170000002</v>
      </c>
      <c r="C29" s="253">
        <f>C28*2</f>
        <v>25159500</v>
      </c>
      <c r="D29" s="249">
        <f>B29-C29</f>
        <v>2444315.1700000018</v>
      </c>
      <c r="E29" s="270">
        <f>5893634.71+5510561.29+E28</f>
        <v>62389279.700000003</v>
      </c>
      <c r="F29" s="253">
        <f>F28*2</f>
        <v>239280166.66666666</v>
      </c>
      <c r="G29" s="249">
        <f>E29-F29</f>
        <v>-176890886.96666664</v>
      </c>
      <c r="H29" s="271">
        <f>313449758.59+11908662.44+H28</f>
        <v>561648086.97000003</v>
      </c>
      <c r="I29" s="254">
        <f>I28*2</f>
        <v>444344000</v>
      </c>
      <c r="J29" s="249">
        <f>H29-I29</f>
        <v>117304086.97000003</v>
      </c>
      <c r="K29" s="256">
        <f t="shared" ref="K29:K40" si="8">SUM($B9+$E9+$H9+$K9+$B29+$E29+$H29)</f>
        <v>918083121.91000009</v>
      </c>
      <c r="L29" s="254">
        <f>L28*2</f>
        <v>938354166.66666663</v>
      </c>
      <c r="M29" s="249">
        <f>K29-L29</f>
        <v>-20271044.756666541</v>
      </c>
      <c r="N29" s="272">
        <f>M29/L40</f>
        <v>-3.6004608701701189E-3</v>
      </c>
    </row>
    <row r="30" spans="1:14" x14ac:dyDescent="0.2">
      <c r="A30" s="269" t="s">
        <v>9</v>
      </c>
      <c r="B30" s="252">
        <f>3915335.81+4669719.5+B29</f>
        <v>36188870.480000004</v>
      </c>
      <c r="C30" s="254">
        <f>C28*3</f>
        <v>37739250</v>
      </c>
      <c r="D30" s="249">
        <f t="shared" ref="D30:D39" si="9">B30-C30</f>
        <v>-1550379.5199999958</v>
      </c>
      <c r="E30" s="273">
        <f>5455953.15+241559429.22+E29</f>
        <v>309404662.06999999</v>
      </c>
      <c r="F30" s="254">
        <f>F28*3</f>
        <v>358920250</v>
      </c>
      <c r="G30" s="249">
        <f t="shared" ref="G30:G39" si="10">E30-F30</f>
        <v>-49515587.930000007</v>
      </c>
      <c r="H30" s="271">
        <f>88078846.83+16220074.46+H29</f>
        <v>665947008.25999999</v>
      </c>
      <c r="I30" s="254">
        <f>I28*3</f>
        <v>666516000</v>
      </c>
      <c r="J30" s="249">
        <f t="shared" ref="J30:J39" si="11">H30-I30</f>
        <v>-568991.74000000954</v>
      </c>
      <c r="K30" s="255">
        <f t="shared" si="8"/>
        <v>1385974334.78</v>
      </c>
      <c r="L30" s="254">
        <f>L28*3</f>
        <v>1407531250</v>
      </c>
      <c r="M30" s="249">
        <f t="shared" ref="M30:M39" si="12">K30-L30</f>
        <v>-21556915.220000029</v>
      </c>
      <c r="N30" s="272">
        <f>M30/L40</f>
        <v>-3.8288519739792686E-3</v>
      </c>
    </row>
    <row r="31" spans="1:14" x14ac:dyDescent="0.2">
      <c r="A31" s="269" t="s">
        <v>10</v>
      </c>
      <c r="B31" s="252">
        <f>5108418.02+5399498.61+B30</f>
        <v>46696787.109999999</v>
      </c>
      <c r="C31" s="253">
        <f>C28*4</f>
        <v>50319000</v>
      </c>
      <c r="D31" s="249">
        <f t="shared" si="9"/>
        <v>-3622212.8900000006</v>
      </c>
      <c r="E31" s="270">
        <f>64826204.74+19353599.88+E30</f>
        <v>393584466.69</v>
      </c>
      <c r="F31" s="253">
        <f>F28*4</f>
        <v>478560333.33333331</v>
      </c>
      <c r="G31" s="249">
        <f t="shared" si="10"/>
        <v>-84975866.643333316</v>
      </c>
      <c r="H31" s="274">
        <f>178309645.23+18083056.86+H30</f>
        <v>862339710.3499999</v>
      </c>
      <c r="I31" s="253">
        <f>I28*4</f>
        <v>888688000</v>
      </c>
      <c r="J31" s="249">
        <f t="shared" si="11"/>
        <v>-26348289.650000095</v>
      </c>
      <c r="K31" s="255">
        <f t="shared" si="8"/>
        <v>1770576506.78</v>
      </c>
      <c r="L31" s="253">
        <f>L28*4</f>
        <v>1876708333.3333333</v>
      </c>
      <c r="M31" s="249">
        <f t="shared" si="12"/>
        <v>-106131826.55333328</v>
      </c>
      <c r="N31" s="272">
        <f>M31/L40</f>
        <v>-1.8850705189197983E-2</v>
      </c>
    </row>
    <row r="32" spans="1:14" x14ac:dyDescent="0.2">
      <c r="A32" s="269" t="s">
        <v>11</v>
      </c>
      <c r="B32" s="252">
        <f>5284747.04+4546150.92+B31</f>
        <v>56527685.07</v>
      </c>
      <c r="C32" s="253">
        <f>C28*5</f>
        <v>62898750</v>
      </c>
      <c r="D32" s="249">
        <f t="shared" si="9"/>
        <v>-6371064.9299999997</v>
      </c>
      <c r="E32" s="273">
        <f>2868878.73+E31</f>
        <v>396453345.42000002</v>
      </c>
      <c r="F32" s="253">
        <f>F28*5</f>
        <v>598200416.66666663</v>
      </c>
      <c r="G32" s="249">
        <f t="shared" si="10"/>
        <v>-201747071.24666661</v>
      </c>
      <c r="H32" s="274">
        <f>267937511.28+9358924.44+H31</f>
        <v>1139636146.0699999</v>
      </c>
      <c r="I32" s="253">
        <f>I28*5</f>
        <v>1110860000</v>
      </c>
      <c r="J32" s="249">
        <f t="shared" si="11"/>
        <v>28776146.069999933</v>
      </c>
      <c r="K32" s="255">
        <f t="shared" si="8"/>
        <v>2165184979.8599997</v>
      </c>
      <c r="L32" s="253">
        <f>L28*5</f>
        <v>2345885416.6666665</v>
      </c>
      <c r="M32" s="249">
        <f t="shared" si="12"/>
        <v>-180700436.80666685</v>
      </c>
      <c r="N32" s="272">
        <f>M32/L40</f>
        <v>-3.2095279732984053E-2</v>
      </c>
    </row>
    <row r="33" spans="1:14" x14ac:dyDescent="0.2">
      <c r="A33" s="269" t="s">
        <v>12</v>
      </c>
      <c r="B33" s="252">
        <f>6578353+5354330.86+B32</f>
        <v>68460368.930000007</v>
      </c>
      <c r="C33" s="253">
        <f>C28*6</f>
        <v>75478500</v>
      </c>
      <c r="D33" s="249">
        <f t="shared" si="9"/>
        <v>-7018131.0699999928</v>
      </c>
      <c r="E33" s="270">
        <f>11290201.64+252047813.27+E32</f>
        <v>659791360.33000004</v>
      </c>
      <c r="F33" s="253">
        <f>F28*6</f>
        <v>717840500</v>
      </c>
      <c r="G33" s="249">
        <f t="shared" si="10"/>
        <v>-58049139.669999957</v>
      </c>
      <c r="H33" s="274">
        <f>185873237.38+10104326.69+H32</f>
        <v>1335613710.1399999</v>
      </c>
      <c r="I33" s="253">
        <f>I28*6</f>
        <v>1333032000</v>
      </c>
      <c r="J33" s="249">
        <f t="shared" si="11"/>
        <v>2581710.1399998665</v>
      </c>
      <c r="K33" s="255">
        <f t="shared" si="8"/>
        <v>2760009456.0599999</v>
      </c>
      <c r="L33" s="253">
        <f>L28*6</f>
        <v>2815062500</v>
      </c>
      <c r="M33" s="249">
        <f t="shared" si="12"/>
        <v>-55053043.940000057</v>
      </c>
      <c r="N33" s="272">
        <f>M33/L40</f>
        <v>-9.778298694966818E-3</v>
      </c>
    </row>
    <row r="34" spans="1:14" x14ac:dyDescent="0.2">
      <c r="A34" s="269" t="s">
        <v>13</v>
      </c>
      <c r="B34" s="252">
        <f>8976545.85+6053604.47+B33</f>
        <v>83490519.25</v>
      </c>
      <c r="C34" s="253">
        <f>C28*7</f>
        <v>88058250</v>
      </c>
      <c r="D34" s="249">
        <f t="shared" si="9"/>
        <v>-4567730.75</v>
      </c>
      <c r="E34" s="273">
        <f>196935738.73+104884134.51+E33</f>
        <v>961611233.57000005</v>
      </c>
      <c r="F34" s="253">
        <f>F28*7</f>
        <v>837480583.33333325</v>
      </c>
      <c r="G34" s="249">
        <f t="shared" si="10"/>
        <v>124130650.2366668</v>
      </c>
      <c r="H34" s="274">
        <f>186217971.27+28610969.91+H33</f>
        <v>1550442651.3199999</v>
      </c>
      <c r="I34" s="253">
        <f>I28*7</f>
        <v>1555204000</v>
      </c>
      <c r="J34" s="249">
        <f t="shared" si="11"/>
        <v>-4761348.6800000668</v>
      </c>
      <c r="K34" s="255">
        <f t="shared" si="8"/>
        <v>3424670851.4200001</v>
      </c>
      <c r="L34" s="253">
        <f>L28*7</f>
        <v>3284239583.333333</v>
      </c>
      <c r="M34" s="249">
        <f t="shared" si="12"/>
        <v>140431268.08666706</v>
      </c>
      <c r="N34" s="272">
        <f>M34/L40</f>
        <v>2.4942833078602528E-2</v>
      </c>
    </row>
    <row r="35" spans="1:14" x14ac:dyDescent="0.2">
      <c r="A35" s="269" t="s">
        <v>14</v>
      </c>
      <c r="B35" s="252">
        <f>9222860.16+5377646.92+B34</f>
        <v>98091026.329999998</v>
      </c>
      <c r="C35" s="253">
        <f>C28*8</f>
        <v>100638000</v>
      </c>
      <c r="D35" s="249">
        <f t="shared" si="9"/>
        <v>-2546973.6700000018</v>
      </c>
      <c r="E35" s="270">
        <f t="shared" ref="E35:E40" si="13">E34</f>
        <v>961611233.57000005</v>
      </c>
      <c r="F35" s="253">
        <f>F28*8</f>
        <v>957120666.66666663</v>
      </c>
      <c r="G35" s="249">
        <f t="shared" si="10"/>
        <v>4490566.9033334255</v>
      </c>
      <c r="H35" s="274">
        <f>294084795.52+18736565.07+H34</f>
        <v>1863264011.9099998</v>
      </c>
      <c r="I35" s="253">
        <f>I28*8</f>
        <v>1777376000</v>
      </c>
      <c r="J35" s="249">
        <f t="shared" si="11"/>
        <v>85888011.909999847</v>
      </c>
      <c r="K35" s="255">
        <f t="shared" si="8"/>
        <v>3882568860.0599999</v>
      </c>
      <c r="L35" s="253">
        <f>L28*8</f>
        <v>3753416666.6666665</v>
      </c>
      <c r="M35" s="249">
        <f t="shared" si="12"/>
        <v>129152193.39333344</v>
      </c>
      <c r="N35" s="272">
        <f>M35/L40</f>
        <v>2.2939489512814267E-2</v>
      </c>
    </row>
    <row r="36" spans="1:14" x14ac:dyDescent="0.2">
      <c r="A36" s="269" t="s">
        <v>15</v>
      </c>
      <c r="B36" s="252">
        <f>11399864.54+4456297.46+B35</f>
        <v>113947188.33</v>
      </c>
      <c r="C36" s="253">
        <f>C28*9</f>
        <v>113217750</v>
      </c>
      <c r="D36" s="249">
        <f t="shared" si="9"/>
        <v>729438.32999999821</v>
      </c>
      <c r="E36" s="273">
        <f>222181781.76+E35</f>
        <v>1183793015.3299999</v>
      </c>
      <c r="F36" s="253">
        <f>F28*9</f>
        <v>1076760750</v>
      </c>
      <c r="G36" s="249">
        <f t="shared" si="10"/>
        <v>107032265.32999992</v>
      </c>
      <c r="H36" s="274">
        <f>152376226.08+H35</f>
        <v>2015640237.9899998</v>
      </c>
      <c r="I36" s="253">
        <f>I28*9</f>
        <v>1999548000</v>
      </c>
      <c r="J36" s="249">
        <f t="shared" si="11"/>
        <v>16092237.989999771</v>
      </c>
      <c r="K36" s="255">
        <f t="shared" si="8"/>
        <v>4412541827.5</v>
      </c>
      <c r="L36" s="253">
        <f>L28*9</f>
        <v>4222593750</v>
      </c>
      <c r="M36" s="249">
        <f t="shared" si="12"/>
        <v>189948077.5</v>
      </c>
      <c r="N36" s="272">
        <f>M36/L40</f>
        <v>3.373780821917808E-2</v>
      </c>
    </row>
    <row r="37" spans="1:14" x14ac:dyDescent="0.2">
      <c r="A37" s="269" t="s">
        <v>16</v>
      </c>
      <c r="B37" s="252">
        <f>8128099.49+4903118.86+B36</f>
        <v>126978406.68000001</v>
      </c>
      <c r="C37" s="253">
        <f>C28*10</f>
        <v>125797500</v>
      </c>
      <c r="D37" s="249">
        <f t="shared" si="9"/>
        <v>1180906.6800000072</v>
      </c>
      <c r="E37" s="270">
        <f>68573630.51+8587882.81+E36</f>
        <v>1260954528.6499999</v>
      </c>
      <c r="F37" s="253">
        <f>F28*10</f>
        <v>1196400833.3333333</v>
      </c>
      <c r="G37" s="249">
        <f t="shared" si="10"/>
        <v>64553695.316666603</v>
      </c>
      <c r="H37" s="274">
        <f>217640678.64+17445860.32+H36</f>
        <v>2250726776.9499998</v>
      </c>
      <c r="I37" s="253">
        <f>I28*10</f>
        <v>2221720000</v>
      </c>
      <c r="J37" s="249">
        <f t="shared" si="11"/>
        <v>29006776.949999809</v>
      </c>
      <c r="K37" s="255">
        <f t="shared" si="8"/>
        <v>4866912967.75</v>
      </c>
      <c r="L37" s="253">
        <f>L28*10</f>
        <v>4691770833.333333</v>
      </c>
      <c r="M37" s="249">
        <f t="shared" si="12"/>
        <v>175142134.41666698</v>
      </c>
      <c r="N37" s="272">
        <f>M37/L40</f>
        <v>3.1108036574084411E-2</v>
      </c>
    </row>
    <row r="38" spans="1:14" x14ac:dyDescent="0.2">
      <c r="A38" s="269" t="s">
        <v>17</v>
      </c>
      <c r="B38" s="252">
        <f>5910025.21+5313930.32+B37</f>
        <v>138202362.21000001</v>
      </c>
      <c r="C38" s="253">
        <f>C28*11</f>
        <v>138377250</v>
      </c>
      <c r="D38" s="249">
        <f t="shared" si="9"/>
        <v>-174887.78999999166</v>
      </c>
      <c r="E38" s="270">
        <f>6894348.5+2828218.92+E37</f>
        <v>1270677096.0699999</v>
      </c>
      <c r="F38" s="253">
        <f>F28*11</f>
        <v>1316040916.6666665</v>
      </c>
      <c r="G38" s="249">
        <f t="shared" si="10"/>
        <v>-45363820.596666574</v>
      </c>
      <c r="H38" s="274">
        <f>321325216.8+H37</f>
        <v>2572051993.75</v>
      </c>
      <c r="I38" s="253">
        <f>I28*11</f>
        <v>2443892000</v>
      </c>
      <c r="J38" s="249">
        <f t="shared" si="11"/>
        <v>128159993.75</v>
      </c>
      <c r="K38" s="255">
        <f t="shared" si="8"/>
        <v>5341625585.3100004</v>
      </c>
      <c r="L38" s="253">
        <f>L28*11</f>
        <v>5160947916.666666</v>
      </c>
      <c r="M38" s="249">
        <f t="shared" si="12"/>
        <v>180677668.64333439</v>
      </c>
      <c r="N38" s="272">
        <f>M38/L40</f>
        <v>3.2091235744026003E-2</v>
      </c>
    </row>
    <row r="39" spans="1:14" ht="13.5" thickBot="1" x14ac:dyDescent="0.25">
      <c r="A39" s="340" t="s">
        <v>18</v>
      </c>
      <c r="B39" s="334">
        <f>4703304.89+6080365.47+B38</f>
        <v>148986032.56999999</v>
      </c>
      <c r="C39" s="332">
        <f>C28*12</f>
        <v>150957000</v>
      </c>
      <c r="D39" s="249">
        <f t="shared" si="9"/>
        <v>-1970967.4300000072</v>
      </c>
      <c r="E39" s="335">
        <f>3684367.81+265140065.64+E38</f>
        <v>1539501529.52</v>
      </c>
      <c r="F39" s="332">
        <f>F28*12</f>
        <v>1435681000</v>
      </c>
      <c r="G39" s="336">
        <f t="shared" si="10"/>
        <v>103820529.51999998</v>
      </c>
      <c r="H39" s="337">
        <f>223840749.75+18115195.52+H38</f>
        <v>2814007939.02</v>
      </c>
      <c r="I39" s="332">
        <f>I28*12</f>
        <v>2666064000</v>
      </c>
      <c r="J39" s="249">
        <f t="shared" si="11"/>
        <v>147943939.01999998</v>
      </c>
      <c r="K39" s="275">
        <f t="shared" si="8"/>
        <v>6031790868.2900009</v>
      </c>
      <c r="L39" s="338">
        <f>L28*12</f>
        <v>5630125000</v>
      </c>
      <c r="M39" s="249">
        <f t="shared" si="12"/>
        <v>401665868.29000092</v>
      </c>
      <c r="N39" s="272">
        <f>M39/L40</f>
        <v>7.1342264743678149E-2</v>
      </c>
    </row>
    <row r="40" spans="1:14" ht="13.5" thickBot="1" x14ac:dyDescent="0.25">
      <c r="A40" s="257" t="s">
        <v>19</v>
      </c>
      <c r="B40" s="345">
        <f t="shared" ref="B40" si="14">B39</f>
        <v>148986032.56999999</v>
      </c>
      <c r="C40" s="258">
        <v>150957000</v>
      </c>
      <c r="D40" s="260"/>
      <c r="E40" s="347">
        <f t="shared" si="13"/>
        <v>1539501529.52</v>
      </c>
      <c r="F40" s="276">
        <v>1435681000</v>
      </c>
      <c r="G40" s="277"/>
      <c r="H40" s="345">
        <f t="shared" ref="H40" si="15">H39</f>
        <v>2814007939.02</v>
      </c>
      <c r="I40" s="258">
        <v>2666064000</v>
      </c>
      <c r="J40" s="278"/>
      <c r="K40" s="346">
        <f t="shared" si="8"/>
        <v>6031790868.2900009</v>
      </c>
      <c r="L40" s="279">
        <f>SUM(F20+I20+L20+O20+F40+I40+C20+C40)</f>
        <v>5630125000</v>
      </c>
      <c r="M40" s="280"/>
      <c r="N40" s="281"/>
    </row>
    <row r="41" spans="1:14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4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4" x14ac:dyDescent="0.2">
      <c r="K43" s="114"/>
      <c r="L43" s="115"/>
    </row>
    <row r="44" spans="1:14" x14ac:dyDescent="0.2">
      <c r="K44" s="114"/>
    </row>
    <row r="45" spans="1:14" x14ac:dyDescent="0.2">
      <c r="K45" s="114"/>
    </row>
    <row r="46" spans="1:14" x14ac:dyDescent="0.2">
      <c r="K46" s="114"/>
    </row>
    <row r="48" spans="1:14" x14ac:dyDescent="0.2">
      <c r="K48" s="116"/>
    </row>
  </sheetData>
  <mergeCells count="38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B24:D25"/>
    <mergeCell ref="E24:G25"/>
    <mergeCell ref="H24:J25"/>
    <mergeCell ref="K24:M25"/>
    <mergeCell ref="B26:B27"/>
    <mergeCell ref="C26:C27"/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1" tint="4.9989318521683403E-2"/>
  </sheetPr>
  <dimension ref="A1:S50"/>
  <sheetViews>
    <sheetView showGridLines="0" topLeftCell="A10" zoomScaleNormal="100" workbookViewId="0">
      <selection activeCell="K46" sqref="K46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74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20.25" x14ac:dyDescent="0.3">
      <c r="B2" s="587" t="s">
        <v>76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92"/>
      <c r="P2" s="592"/>
      <c r="Q2" s="592"/>
      <c r="R2" s="592"/>
      <c r="S2" s="592"/>
    </row>
    <row r="3" spans="1:19" ht="12.75" customHeight="1" x14ac:dyDescent="0.25">
      <c r="A3" s="59"/>
    </row>
    <row r="4" spans="1:19" ht="12.75" customHeight="1" x14ac:dyDescent="0.2"/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75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  <row r="49" spans="2:19" ht="20.25" x14ac:dyDescent="0.3">
      <c r="B49" s="587" t="s">
        <v>76</v>
      </c>
      <c r="C49" s="586"/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92"/>
      <c r="P49" s="592"/>
      <c r="Q49" s="592"/>
      <c r="R49" s="592"/>
      <c r="S49" s="592"/>
    </row>
    <row r="50" spans="2:19" ht="12.75" customHeight="1" x14ac:dyDescent="0.2"/>
  </sheetData>
  <mergeCells count="4">
    <mergeCell ref="B1:S1"/>
    <mergeCell ref="B2:S2"/>
    <mergeCell ref="B48:S48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-0.499984740745262"/>
    <pageSetUpPr fitToPage="1"/>
  </sheetPr>
  <dimension ref="A1:N48"/>
  <sheetViews>
    <sheetView showGridLines="0" zoomScale="120" zoomScaleNormal="120" workbookViewId="0">
      <selection activeCell="A23" sqref="A23:XFD23"/>
    </sheetView>
  </sheetViews>
  <sheetFormatPr defaultRowHeight="15" x14ac:dyDescent="0.25"/>
  <cols>
    <col min="1" max="1" width="8.7109375" customWidth="1"/>
    <col min="2" max="13" width="12.7109375" customWidth="1"/>
    <col min="14" max="14" width="10.140625" customWidth="1"/>
    <col min="15" max="15" width="9.7109375" customWidth="1"/>
    <col min="16" max="16" width="12.42578125" customWidth="1"/>
    <col min="17" max="18" width="9.7109375" customWidth="1"/>
    <col min="19" max="19" width="11" customWidth="1"/>
  </cols>
  <sheetData>
    <row r="1" spans="1:14" ht="20.25" x14ac:dyDescent="0.3">
      <c r="A1" s="593" t="s">
        <v>77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</row>
    <row r="2" spans="1:14" ht="20.25" x14ac:dyDescent="0.3">
      <c r="A2" s="594" t="s">
        <v>91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</row>
    <row r="3" spans="1:14" ht="13.5" customHeight="1" thickBot="1" x14ac:dyDescent="0.3">
      <c r="B3" s="152"/>
      <c r="C3" s="153"/>
      <c r="D3" s="154"/>
      <c r="E3" s="154"/>
      <c r="F3" s="154"/>
      <c r="G3" s="155"/>
      <c r="H3" s="155"/>
      <c r="I3" s="155"/>
      <c r="J3" s="155"/>
      <c r="K3" s="156"/>
      <c r="L3" s="156"/>
      <c r="M3" s="157" t="s">
        <v>59</v>
      </c>
      <c r="N3" s="158"/>
    </row>
    <row r="4" spans="1:14" ht="13.5" customHeight="1" x14ac:dyDescent="0.25">
      <c r="A4" s="595" t="s">
        <v>2</v>
      </c>
      <c r="B4" s="598" t="s">
        <v>88</v>
      </c>
      <c r="C4" s="599"/>
      <c r="D4" s="600"/>
      <c r="E4" s="631" t="s">
        <v>89</v>
      </c>
      <c r="F4" s="599"/>
      <c r="G4" s="600"/>
      <c r="H4" s="605" t="s">
        <v>86</v>
      </c>
      <c r="I4" s="599"/>
      <c r="J4" s="600"/>
      <c r="K4" s="606" t="s">
        <v>87</v>
      </c>
      <c r="L4" s="599"/>
      <c r="M4" s="600"/>
      <c r="N4" s="158"/>
    </row>
    <row r="5" spans="1:14" ht="13.5" customHeight="1" thickBot="1" x14ac:dyDescent="0.3">
      <c r="A5" s="596"/>
      <c r="B5" s="601"/>
      <c r="C5" s="602"/>
      <c r="D5" s="603"/>
      <c r="E5" s="601"/>
      <c r="F5" s="602"/>
      <c r="G5" s="603"/>
      <c r="H5" s="601"/>
      <c r="I5" s="602"/>
      <c r="J5" s="603"/>
      <c r="K5" s="601"/>
      <c r="L5" s="602"/>
      <c r="M5" s="603"/>
      <c r="N5" s="156"/>
    </row>
    <row r="6" spans="1:14" x14ac:dyDescent="0.25">
      <c r="A6" s="596"/>
      <c r="B6" s="607" t="s">
        <v>3</v>
      </c>
      <c r="C6" s="609" t="s">
        <v>31</v>
      </c>
      <c r="D6" s="611" t="s">
        <v>32</v>
      </c>
      <c r="E6" s="607" t="s">
        <v>4</v>
      </c>
      <c r="F6" s="609" t="s">
        <v>31</v>
      </c>
      <c r="G6" s="611" t="s">
        <v>32</v>
      </c>
      <c r="H6" s="624" t="s">
        <v>5</v>
      </c>
      <c r="I6" s="609" t="s">
        <v>31</v>
      </c>
      <c r="J6" s="611" t="s">
        <v>32</v>
      </c>
      <c r="K6" s="607" t="s">
        <v>6</v>
      </c>
      <c r="L6" s="609" t="s">
        <v>31</v>
      </c>
      <c r="M6" s="611" t="s">
        <v>32</v>
      </c>
    </row>
    <row r="7" spans="1:14" ht="15.75" thickBot="1" x14ac:dyDescent="0.3">
      <c r="A7" s="597"/>
      <c r="B7" s="608"/>
      <c r="C7" s="610"/>
      <c r="D7" s="612"/>
      <c r="E7" s="608"/>
      <c r="F7" s="610"/>
      <c r="G7" s="612"/>
      <c r="H7" s="608"/>
      <c r="I7" s="610"/>
      <c r="J7" s="612"/>
      <c r="K7" s="608"/>
      <c r="L7" s="610"/>
      <c r="M7" s="612"/>
    </row>
    <row r="8" spans="1:14" s="161" customFormat="1" ht="12.75" x14ac:dyDescent="0.2">
      <c r="A8" s="315" t="s">
        <v>7</v>
      </c>
      <c r="B8" s="316">
        <f>55117676.21+76110643.91</f>
        <v>131228320.12</v>
      </c>
      <c r="C8" s="284">
        <f>C20/12</f>
        <v>125019750</v>
      </c>
      <c r="D8" s="296">
        <f>B8-C8</f>
        <v>6208570.1200000048</v>
      </c>
      <c r="E8" s="283">
        <f>3687603.08+5092775.77</f>
        <v>8780378.8499999996</v>
      </c>
      <c r="F8" s="284">
        <f>F20/12</f>
        <v>8457250</v>
      </c>
      <c r="G8" s="296">
        <f>E8-F8</f>
        <v>323128.84999999963</v>
      </c>
      <c r="H8" s="283">
        <f>14680372.84+312.02</f>
        <v>14680684.859999999</v>
      </c>
      <c r="I8" s="284">
        <f>I20/12</f>
        <v>1223333.3333333333</v>
      </c>
      <c r="J8" s="285">
        <f>H8-I8</f>
        <v>13457351.526666665</v>
      </c>
      <c r="K8" s="283">
        <f>3160549.16+679291.39</f>
        <v>3839840.5500000003</v>
      </c>
      <c r="L8" s="284">
        <f>L20/12</f>
        <v>3449916.6666666665</v>
      </c>
      <c r="M8" s="285">
        <f>K8-L8</f>
        <v>389923.88333333377</v>
      </c>
    </row>
    <row r="9" spans="1:14" s="161" customFormat="1" ht="12.75" x14ac:dyDescent="0.2">
      <c r="A9" s="317" t="s">
        <v>8</v>
      </c>
      <c r="B9" s="294">
        <f>61023307.32+72092279.03</f>
        <v>133115586.34999999</v>
      </c>
      <c r="C9" s="295">
        <f>C8*2</f>
        <v>250039500</v>
      </c>
      <c r="D9" s="296">
        <f>SUM(B8+B9)-C9</f>
        <v>14304406.469999999</v>
      </c>
      <c r="E9" s="316">
        <f>4082714.46+4823274.99</f>
        <v>8905989.4499999993</v>
      </c>
      <c r="F9" s="295">
        <f>F8*2</f>
        <v>16914500</v>
      </c>
      <c r="G9" s="296">
        <f>SUM(E8+E9)-F9</f>
        <v>771868.29999999702</v>
      </c>
      <c r="H9" s="316">
        <v>0</v>
      </c>
      <c r="I9" s="295">
        <f>I8*2</f>
        <v>2446666.6666666665</v>
      </c>
      <c r="J9" s="296">
        <f>SUM(H8+H9)-I9</f>
        <v>12234018.193333333</v>
      </c>
      <c r="K9" s="294">
        <f>695505.98+1023431.07</f>
        <v>1718937.0499999998</v>
      </c>
      <c r="L9" s="295">
        <f>L8*2</f>
        <v>6899833.333333333</v>
      </c>
      <c r="M9" s="296">
        <f>SUM(K8+K9)-L9</f>
        <v>-1341055.7333333334</v>
      </c>
    </row>
    <row r="10" spans="1:14" s="161" customFormat="1" ht="12.75" x14ac:dyDescent="0.2">
      <c r="A10" s="317" t="s">
        <v>9</v>
      </c>
      <c r="B10" s="294">
        <f>46789518.35+60805695.94</f>
        <v>107595214.28999999</v>
      </c>
      <c r="C10" s="295">
        <f>C8*3</f>
        <v>375059250</v>
      </c>
      <c r="D10" s="296">
        <f>SUM(B8+B9+B10)-C10</f>
        <v>-3120129.2400000095</v>
      </c>
      <c r="E10" s="316">
        <f>3130414.46+4070582.58</f>
        <v>7200997.04</v>
      </c>
      <c r="F10" s="299">
        <f>F8*3</f>
        <v>25371750</v>
      </c>
      <c r="G10" s="296">
        <f>SUM(E8+E9+E10)-F10</f>
        <v>-484384.66000000387</v>
      </c>
      <c r="H10" s="316">
        <v>0</v>
      </c>
      <c r="I10" s="299">
        <f>I8*3</f>
        <v>3670000</v>
      </c>
      <c r="J10" s="296">
        <f>SUM(H8+H9+H10)-I10</f>
        <v>11010684.859999999</v>
      </c>
      <c r="K10" s="294">
        <f>1775601.55+2488482.18</f>
        <v>4264083.7300000004</v>
      </c>
      <c r="L10" s="299">
        <f>L8*3</f>
        <v>10349750</v>
      </c>
      <c r="M10" s="296">
        <f>SUM(K8+K9+K10)-L10</f>
        <v>-526888.66999999993</v>
      </c>
    </row>
    <row r="11" spans="1:14" s="161" customFormat="1" ht="12.75" x14ac:dyDescent="0.2">
      <c r="A11" s="317" t="s">
        <v>10</v>
      </c>
      <c r="B11" s="294">
        <f>38598074.26+56255993.61</f>
        <v>94854067.870000005</v>
      </c>
      <c r="C11" s="295">
        <f>C8*4</f>
        <v>500079000</v>
      </c>
      <c r="D11" s="296">
        <f>SUM(B8+B9+B10+B11)-C11</f>
        <v>-33285811.370000005</v>
      </c>
      <c r="E11" s="316">
        <f>2582372.61+3763761.25</f>
        <v>6346133.8599999994</v>
      </c>
      <c r="F11" s="295">
        <f>F8*4</f>
        <v>33829000</v>
      </c>
      <c r="G11" s="296">
        <f>SUM(E8+E9+E10+E11)-F11</f>
        <v>-2595500.8000000045</v>
      </c>
      <c r="H11" s="316">
        <v>0</v>
      </c>
      <c r="I11" s="295">
        <f>I8*4</f>
        <v>4893333.333333333</v>
      </c>
      <c r="J11" s="296">
        <f>SUM(H8+H9+H10+H11)-I11</f>
        <v>9787351.5266666673</v>
      </c>
      <c r="K11" s="294">
        <v>0</v>
      </c>
      <c r="L11" s="295">
        <f>L8*4</f>
        <v>13799666.666666666</v>
      </c>
      <c r="M11" s="296">
        <f>SUM(K8+K9+K10+K11)-L11</f>
        <v>-3976805.336666666</v>
      </c>
    </row>
    <row r="12" spans="1:14" s="161" customFormat="1" ht="12.75" x14ac:dyDescent="0.2">
      <c r="A12" s="317" t="s">
        <v>11</v>
      </c>
      <c r="B12" s="294">
        <f>39275881.04+77943820.28</f>
        <v>117219701.31999999</v>
      </c>
      <c r="C12" s="295">
        <f>C8*5</f>
        <v>625098750</v>
      </c>
      <c r="D12" s="296">
        <f>SUM(B8+B9+B10+B11+B12)-C12</f>
        <v>-41085860.049999952</v>
      </c>
      <c r="E12" s="316">
        <f>2627720.75+5214767.58</f>
        <v>7842488.3300000001</v>
      </c>
      <c r="F12" s="295">
        <f>F8*5</f>
        <v>42286250</v>
      </c>
      <c r="G12" s="296">
        <f>SUM(E8+E9+E10+E11+E12)-F12</f>
        <v>-3210262.4700000063</v>
      </c>
      <c r="H12" s="316">
        <v>0</v>
      </c>
      <c r="I12" s="295">
        <f>I8*5</f>
        <v>6116666.666666666</v>
      </c>
      <c r="J12" s="296">
        <f>SUM(H8+H9+H10+H11+H12)-I12</f>
        <v>8564018.1933333334</v>
      </c>
      <c r="K12" s="294">
        <v>0</v>
      </c>
      <c r="L12" s="295">
        <f>L8*5</f>
        <v>17249583.333333332</v>
      </c>
      <c r="M12" s="296">
        <f>SUM(K8+K9+K10+K11+K12)-L12</f>
        <v>-7426722.003333332</v>
      </c>
    </row>
    <row r="13" spans="1:14" ht="12.75" customHeight="1" x14ac:dyDescent="0.25">
      <c r="A13" s="317" t="s">
        <v>12</v>
      </c>
      <c r="B13" s="294">
        <f>55210692.85+83874911</f>
        <v>139085603.84999999</v>
      </c>
      <c r="C13" s="295">
        <f>C8*6</f>
        <v>750118500</v>
      </c>
      <c r="D13" s="296">
        <f>SUM(B8+B9+B10+B11+B12+B13)-C13</f>
        <v>-27020006.199999928</v>
      </c>
      <c r="E13" s="316">
        <f>3693826.27+5611582.35</f>
        <v>9305408.6199999992</v>
      </c>
      <c r="F13" s="295">
        <f>F8*6</f>
        <v>50743500</v>
      </c>
      <c r="G13" s="296">
        <f>SUM(E8+E9+E10+E11+E12+E13)-F13</f>
        <v>-2362103.8500000089</v>
      </c>
      <c r="H13" s="316">
        <v>0</v>
      </c>
      <c r="I13" s="295">
        <f>I8*6</f>
        <v>7340000</v>
      </c>
      <c r="J13" s="296">
        <f>SUM(H8+H9+H10+H11+H12+H13)-I13</f>
        <v>7340684.8599999994</v>
      </c>
      <c r="K13" s="294">
        <v>0</v>
      </c>
      <c r="L13" s="295">
        <f>L8*6</f>
        <v>20699500</v>
      </c>
      <c r="M13" s="296">
        <f>SUM(K8+K9+K10+K11+K12+K13)-L13</f>
        <v>-10876638.67</v>
      </c>
    </row>
    <row r="14" spans="1:14" ht="12.75" customHeight="1" x14ac:dyDescent="0.25">
      <c r="A14" s="317" t="s">
        <v>13</v>
      </c>
      <c r="B14" s="294">
        <f>53312297.79+81830419.86</f>
        <v>135142717.65000001</v>
      </c>
      <c r="C14" s="295">
        <f>C8*7</f>
        <v>875138250</v>
      </c>
      <c r="D14" s="296">
        <f>SUM(B8+B9+B10+B11+B12+B13+B14)-C14</f>
        <v>-16897038.549999952</v>
      </c>
      <c r="E14" s="316">
        <f>3566815.71+5474797.34</f>
        <v>9041613.0500000007</v>
      </c>
      <c r="F14" s="295">
        <f>F8*7</f>
        <v>59200750</v>
      </c>
      <c r="G14" s="296">
        <f>SUM(E8+E9+E10+E11+E12+E13+E14)-F14</f>
        <v>-1777740.8000000119</v>
      </c>
      <c r="H14" s="316">
        <v>0</v>
      </c>
      <c r="I14" s="295">
        <f>I8*7</f>
        <v>8563333.3333333321</v>
      </c>
      <c r="J14" s="296">
        <f>SUM(H8+H9+H10+H11+H12+H13+H14)-I14</f>
        <v>6117351.5266666673</v>
      </c>
      <c r="K14" s="294">
        <f>827738.47+6406320.74</f>
        <v>7234059.21</v>
      </c>
      <c r="L14" s="295">
        <f>L8*7</f>
        <v>24149416.666666664</v>
      </c>
      <c r="M14" s="296">
        <f>SUM(K8+K9+K10+K11+K12+K13+K14)-L14</f>
        <v>-7092496.1266666651</v>
      </c>
    </row>
    <row r="15" spans="1:14" ht="12.75" customHeight="1" x14ac:dyDescent="0.25">
      <c r="A15" s="317" t="s">
        <v>14</v>
      </c>
      <c r="B15" s="294">
        <f>55345403.31+82328192.78</f>
        <v>137673596.09</v>
      </c>
      <c r="C15" s="295">
        <f>C8*8</f>
        <v>1000158000</v>
      </c>
      <c r="D15" s="296">
        <f>SUM(B8+B9+B10+B11+B12+B13+B14+B15)-C15</f>
        <v>-4243192.4599999189</v>
      </c>
      <c r="E15" s="316">
        <f>3702838.98+5508100.45</f>
        <v>9210939.4299999997</v>
      </c>
      <c r="F15" s="295">
        <f>F8*8</f>
        <v>67658000</v>
      </c>
      <c r="G15" s="296">
        <f>SUM(E8+E9+E10+E11+E12+E13+E14+E15)-F15</f>
        <v>-1024051.3700000122</v>
      </c>
      <c r="H15" s="316">
        <v>0</v>
      </c>
      <c r="I15" s="295">
        <f>I8*8</f>
        <v>9786666.666666666</v>
      </c>
      <c r="J15" s="296">
        <f>SUM(H8+H9+H10+H11+H12+H13+H14+H15)-I15</f>
        <v>4894018.1933333334</v>
      </c>
      <c r="K15" s="294">
        <v>0</v>
      </c>
      <c r="L15" s="295">
        <f>L8*8</f>
        <v>27599333.333333332</v>
      </c>
      <c r="M15" s="296">
        <f>SUM(K8+K9+K10+K11+K12+K13+K14+K15)-L15</f>
        <v>-10542412.793333333</v>
      </c>
    </row>
    <row r="16" spans="1:14" ht="12.75" customHeight="1" x14ac:dyDescent="0.25">
      <c r="A16" s="317" t="s">
        <v>15</v>
      </c>
      <c r="B16" s="294">
        <f>51717304.36+75028043.9</f>
        <v>126745348.26000001</v>
      </c>
      <c r="C16" s="295">
        <f>C8*9</f>
        <v>1125177750</v>
      </c>
      <c r="D16" s="296">
        <f>SUM(B8+B9+B10+B11+B12+B13+B14+B15+B16)-C16</f>
        <v>-2517594.1999998093</v>
      </c>
      <c r="E16" s="316">
        <f>3460103.98+6322715.54</f>
        <v>9782819.5199999996</v>
      </c>
      <c r="F16" s="295">
        <f>F8*9</f>
        <v>76115250</v>
      </c>
      <c r="G16" s="296">
        <f>SUM(E8+E9+E10+E11+E12+E13+E14+E15+E16)-F16</f>
        <v>301518.14999999106</v>
      </c>
      <c r="H16" s="316">
        <v>0</v>
      </c>
      <c r="I16" s="295">
        <f>I8*9</f>
        <v>11010000</v>
      </c>
      <c r="J16" s="296">
        <f>SUM(H8+H9+H10+H11+H12+H13+H14+H15+H16)-I16</f>
        <v>3670684.8599999994</v>
      </c>
      <c r="K16" s="294">
        <f>6113577.25</f>
        <v>6113577.25</v>
      </c>
      <c r="L16" s="295">
        <f>L8*9</f>
        <v>31049250</v>
      </c>
      <c r="M16" s="296">
        <f>SUM(K8+K9+K10+K11+K12+K13+K14+K15+K16)-L16</f>
        <v>-7878752.2100000009</v>
      </c>
    </row>
    <row r="17" spans="1:14" s="161" customFormat="1" ht="12.75" customHeight="1" x14ac:dyDescent="0.2">
      <c r="A17" s="317" t="s">
        <v>16</v>
      </c>
      <c r="B17" s="294">
        <f>47197799.11+75020541.72</f>
        <v>122218340.83</v>
      </c>
      <c r="C17" s="295">
        <f>C8*10</f>
        <v>1250197500</v>
      </c>
      <c r="D17" s="296">
        <f>SUM(B8+B9+B10+B11+B12+B13+B14+B15+B16+B17)-C17</f>
        <v>-5319003.3699998856</v>
      </c>
      <c r="E17" s="316">
        <f>3215336.57+5110753</f>
        <v>8326089.5700000003</v>
      </c>
      <c r="F17" s="295">
        <f>F8*10</f>
        <v>84572500</v>
      </c>
      <c r="G17" s="296">
        <f>SUM(E8+E9+E10+E11+E12+E13+E14+E15+E16+E17)-F17</f>
        <v>170357.71999999881</v>
      </c>
      <c r="H17" s="316">
        <v>0</v>
      </c>
      <c r="I17" s="295">
        <f>I8*10</f>
        <v>12233333.333333332</v>
      </c>
      <c r="J17" s="296">
        <f>SUM(H8+H9+H10+H11+H12+H13+H14+H15+H16+H17)-I17</f>
        <v>2447351.5266666673</v>
      </c>
      <c r="K17" s="294">
        <f>2046537.11+807600.63</f>
        <v>2854137.74</v>
      </c>
      <c r="L17" s="295">
        <f>L8*10</f>
        <v>34499166.666666664</v>
      </c>
      <c r="M17" s="296">
        <f>SUM(K8+K9+K10+K11+K12+K13+K14+K15+K16+K17)-L17</f>
        <v>-8474531.136666663</v>
      </c>
    </row>
    <row r="18" spans="1:14" ht="12.75" customHeight="1" x14ac:dyDescent="0.25">
      <c r="A18" s="317" t="s">
        <v>17</v>
      </c>
      <c r="B18" s="294">
        <f>56234287.72+88912264.64</f>
        <v>145146552.36000001</v>
      </c>
      <c r="C18" s="295">
        <f>C8*11</f>
        <v>1375217250</v>
      </c>
      <c r="D18" s="296">
        <f>SUM(B8+B9+B10+B11+B12+B13+B14+B15+B16+B17+B18)-C18</f>
        <v>14807798.990000248</v>
      </c>
      <c r="E18" s="316">
        <f>3830944.78+6057122.6</f>
        <v>9888067.379999999</v>
      </c>
      <c r="F18" s="295">
        <f>F8*11</f>
        <v>93029750</v>
      </c>
      <c r="G18" s="296">
        <f>SUM(E8+E9+E10+E11+E12+E13+E14+E15+E16+E17+E18)-F18</f>
        <v>1601175.099999994</v>
      </c>
      <c r="H18" s="316">
        <v>0</v>
      </c>
      <c r="I18" s="295">
        <f>I8*11</f>
        <v>13456666.666666666</v>
      </c>
      <c r="J18" s="296">
        <f>SUM(H8+H9+H10+H11+H12+H13+H14+H15+H16+H17+H18)-I18</f>
        <v>1224018.1933333334</v>
      </c>
      <c r="K18" s="294">
        <f>1345328.26+682221.25</f>
        <v>2027549.51</v>
      </c>
      <c r="L18" s="295">
        <f>L8*11</f>
        <v>37949083.333333328</v>
      </c>
      <c r="M18" s="296">
        <f>SUM(K8+K9+K10+K11+K12+K13+K14+K15+K16+K17+K18)-L18</f>
        <v>-9896898.2933333255</v>
      </c>
    </row>
    <row r="19" spans="1:14" ht="12.75" customHeight="1" thickBot="1" x14ac:dyDescent="0.3">
      <c r="A19" s="330" t="s">
        <v>18</v>
      </c>
      <c r="B19" s="320">
        <f>48020231.52+112138892.43</f>
        <v>160159123.95000002</v>
      </c>
      <c r="C19" s="321">
        <f>C8*12</f>
        <v>1500237000</v>
      </c>
      <c r="D19" s="296">
        <f>SUM(B8+B9+B10+B11+B12+B13+B14+B15+B16+B17+B18+B19)-C19</f>
        <v>49947172.940000296</v>
      </c>
      <c r="E19" s="322">
        <f>3271364.54+7639430.03</f>
        <v>10910794.57</v>
      </c>
      <c r="F19" s="321">
        <f>F8*12</f>
        <v>101487000</v>
      </c>
      <c r="G19" s="296">
        <f>SUM(E8+E9+E10+E11+E12+E13+E14+E15+E16+E17+E18+E19)-F19</f>
        <v>4054719.6699999869</v>
      </c>
      <c r="H19" s="322">
        <v>0</v>
      </c>
      <c r="I19" s="321">
        <f>I8*12</f>
        <v>14680000</v>
      </c>
      <c r="J19" s="296">
        <f>SUM(H8+H9+H10+H11+H12+H13+H14+H15+H16+H17+H18+H19)-I19</f>
        <v>684.85999999940395</v>
      </c>
      <c r="K19" s="320">
        <f>882498.75+13275723.28</f>
        <v>14158222.029999999</v>
      </c>
      <c r="L19" s="321">
        <f>L8*12</f>
        <v>41399000</v>
      </c>
      <c r="M19" s="296">
        <f>SUM(K8+K9+K10+K11+K12+K13+K14+K15+K16+K17+K18+K19)-L19</f>
        <v>811407.0700000003</v>
      </c>
    </row>
    <row r="20" spans="1:14" ht="12.75" customHeight="1" thickBot="1" x14ac:dyDescent="0.3">
      <c r="A20" s="306" t="s">
        <v>19</v>
      </c>
      <c r="B20" s="342">
        <f>SUM(B8:B19)</f>
        <v>1550184172.9400003</v>
      </c>
      <c r="C20" s="307">
        <f>1400297000+99940000</f>
        <v>1500237000</v>
      </c>
      <c r="D20" s="318"/>
      <c r="E20" s="342">
        <f>SUM(E8:E19)</f>
        <v>105541719.66999999</v>
      </c>
      <c r="F20" s="307">
        <f>94726000+6761000</f>
        <v>101487000</v>
      </c>
      <c r="G20" s="319"/>
      <c r="H20" s="342">
        <f>SUM(H8:H19)</f>
        <v>14680684.859999999</v>
      </c>
      <c r="I20" s="307">
        <v>14680000</v>
      </c>
      <c r="J20" s="319"/>
      <c r="K20" s="342">
        <f>SUM(K8:K19)</f>
        <v>42210407.07</v>
      </c>
      <c r="L20" s="307">
        <f>36322000+5077000</f>
        <v>41399000</v>
      </c>
      <c r="M20" s="319"/>
    </row>
    <row r="21" spans="1:14" x14ac:dyDescent="0.25">
      <c r="A21" s="156"/>
      <c r="B21" s="158"/>
      <c r="C21" s="158"/>
      <c r="D21" s="158"/>
      <c r="E21" s="158"/>
      <c r="F21" s="158"/>
      <c r="G21" s="158"/>
      <c r="H21" s="156"/>
      <c r="I21" s="158"/>
      <c r="J21" s="156"/>
      <c r="K21" s="156"/>
      <c r="L21" s="158"/>
      <c r="M21" s="156"/>
    </row>
    <row r="22" spans="1:14" x14ac:dyDescent="0.25">
      <c r="A22" s="156"/>
      <c r="B22" s="158"/>
      <c r="C22" s="158"/>
      <c r="D22" s="341"/>
      <c r="E22" s="170"/>
      <c r="F22" s="158"/>
      <c r="G22" s="158"/>
      <c r="H22" s="156"/>
      <c r="I22" s="158"/>
      <c r="J22" s="171"/>
      <c r="K22" s="156"/>
      <c r="L22" s="158"/>
      <c r="M22" s="156"/>
    </row>
    <row r="23" spans="1:14" ht="15.75" thickBot="1" x14ac:dyDescent="0.3">
      <c r="A23" s="172"/>
      <c r="B23" s="158"/>
      <c r="C23" s="173"/>
      <c r="D23" s="158"/>
      <c r="E23" s="158"/>
      <c r="F23" s="158"/>
      <c r="G23" s="158"/>
      <c r="M23" s="174" t="s">
        <v>59</v>
      </c>
    </row>
    <row r="24" spans="1:14" x14ac:dyDescent="0.25">
      <c r="A24" s="595" t="s">
        <v>2</v>
      </c>
      <c r="B24" s="613" t="s">
        <v>36</v>
      </c>
      <c r="C24" s="599"/>
      <c r="D24" s="600"/>
      <c r="E24" s="614" t="s">
        <v>20</v>
      </c>
      <c r="F24" s="615"/>
      <c r="G24" s="616"/>
      <c r="H24" s="620" t="s">
        <v>21</v>
      </c>
      <c r="I24" s="615"/>
      <c r="J24" s="616"/>
      <c r="K24" s="621" t="s">
        <v>22</v>
      </c>
      <c r="L24" s="615"/>
      <c r="M24" s="616"/>
    </row>
    <row r="25" spans="1:14" ht="15.75" thickBot="1" x14ac:dyDescent="0.3">
      <c r="A25" s="596"/>
      <c r="B25" s="601"/>
      <c r="C25" s="602"/>
      <c r="D25" s="603"/>
      <c r="E25" s="617"/>
      <c r="F25" s="618"/>
      <c r="G25" s="619"/>
      <c r="H25" s="617"/>
      <c r="I25" s="618"/>
      <c r="J25" s="619"/>
      <c r="K25" s="617"/>
      <c r="L25" s="618"/>
      <c r="M25" s="619"/>
    </row>
    <row r="26" spans="1:14" ht="12.75" customHeight="1" x14ac:dyDescent="0.25">
      <c r="A26" s="596"/>
      <c r="B26" s="607" t="s">
        <v>23</v>
      </c>
      <c r="C26" s="609" t="s">
        <v>31</v>
      </c>
      <c r="D26" s="611" t="s">
        <v>32</v>
      </c>
      <c r="E26" s="627" t="s">
        <v>24</v>
      </c>
      <c r="F26" s="609" t="s">
        <v>31</v>
      </c>
      <c r="G26" s="611" t="s">
        <v>32</v>
      </c>
      <c r="H26" s="627" t="s">
        <v>25</v>
      </c>
      <c r="I26" s="609" t="s">
        <v>31</v>
      </c>
      <c r="J26" s="611" t="s">
        <v>32</v>
      </c>
      <c r="K26" s="630" t="s">
        <v>19</v>
      </c>
      <c r="L26" s="609" t="s">
        <v>31</v>
      </c>
      <c r="M26" s="611" t="s">
        <v>32</v>
      </c>
      <c r="N26" s="622" t="s">
        <v>90</v>
      </c>
    </row>
    <row r="27" spans="1:14" ht="15.75" thickBot="1" x14ac:dyDescent="0.3">
      <c r="A27" s="597"/>
      <c r="B27" s="608"/>
      <c r="C27" s="610"/>
      <c r="D27" s="612"/>
      <c r="E27" s="628"/>
      <c r="F27" s="610"/>
      <c r="G27" s="612"/>
      <c r="H27" s="628"/>
      <c r="I27" s="629"/>
      <c r="J27" s="612"/>
      <c r="K27" s="608"/>
      <c r="L27" s="610"/>
      <c r="M27" s="612"/>
      <c r="N27" s="623"/>
    </row>
    <row r="28" spans="1:14" s="161" customFormat="1" ht="12.75" x14ac:dyDescent="0.2">
      <c r="A28" s="282" t="s">
        <v>7</v>
      </c>
      <c r="B28" s="283">
        <f>7004657.94+4280967.32</f>
        <v>11285625.260000002</v>
      </c>
      <c r="C28" s="284">
        <f>C40/12</f>
        <v>12165250</v>
      </c>
      <c r="D28" s="285">
        <f>B28-C28</f>
        <v>-879624.73999999836</v>
      </c>
      <c r="E28" s="286">
        <f>33355435.75+5104038.98</f>
        <v>38459474.730000004</v>
      </c>
      <c r="F28" s="284">
        <f>F40/12</f>
        <v>129002083.33333333</v>
      </c>
      <c r="G28" s="285">
        <f>E28-F28</f>
        <v>-90542608.603333324</v>
      </c>
      <c r="H28" s="287">
        <f>261766552.27+13265576.51</f>
        <v>275032128.78000003</v>
      </c>
      <c r="I28" s="288">
        <f>I40/12</f>
        <v>265130750</v>
      </c>
      <c r="J28" s="289">
        <f>H28-I28</f>
        <v>9901378.780000031</v>
      </c>
      <c r="K28" s="290">
        <f>SUM($B8+$E8+$H8+$K8+$B28+$E28+$H28)</f>
        <v>483306453.15000004</v>
      </c>
      <c r="L28" s="288">
        <f>L40/12</f>
        <v>544448333.33333337</v>
      </c>
      <c r="M28" s="291">
        <f>K28-L28</f>
        <v>-61141880.183333337</v>
      </c>
      <c r="N28" s="292">
        <f>M28/L40</f>
        <v>-9.3583842028679386E-3</v>
      </c>
    </row>
    <row r="29" spans="1:14" s="161" customFormat="1" ht="12.75" x14ac:dyDescent="0.2">
      <c r="A29" s="293" t="s">
        <v>8</v>
      </c>
      <c r="B29" s="294">
        <f>11221810.48+3275198.7</f>
        <v>14497009.18</v>
      </c>
      <c r="C29" s="295">
        <f>C28*2</f>
        <v>24330500</v>
      </c>
      <c r="D29" s="296">
        <f>SUM(B28+B29)-C29</f>
        <v>1452134.4400000013</v>
      </c>
      <c r="E29" s="297">
        <f>6100605.31+7652883.35</f>
        <v>13753488.66</v>
      </c>
      <c r="F29" s="295">
        <f>F28*2</f>
        <v>258004166.66666666</v>
      </c>
      <c r="G29" s="296">
        <f>SUM(E28+E29)-F29</f>
        <v>-205791203.27666664</v>
      </c>
      <c r="H29" s="298">
        <f>334500131.58+12730461.2</f>
        <v>347230592.77999997</v>
      </c>
      <c r="I29" s="299">
        <f>I28*2</f>
        <v>530261500</v>
      </c>
      <c r="J29" s="296">
        <f>SUM(H28+H29)-I29</f>
        <v>92001221.559999943</v>
      </c>
      <c r="K29" s="300">
        <f t="shared" ref="K29:K40" si="0">SUM($B9+$E9+$H9+$K9+$B29+$E29+$H29)</f>
        <v>519221603.46999997</v>
      </c>
      <c r="L29" s="299">
        <f>L28*2</f>
        <v>1088896666.6666667</v>
      </c>
      <c r="M29" s="296">
        <f>SUM(K28+K29)-L29</f>
        <v>-86368610.046666741</v>
      </c>
      <c r="N29" s="301">
        <f>M29/L40</f>
        <v>-1.3219590785576033E-2</v>
      </c>
    </row>
    <row r="30" spans="1:14" s="161" customFormat="1" ht="12.75" x14ac:dyDescent="0.2">
      <c r="A30" s="293" t="s">
        <v>9</v>
      </c>
      <c r="B30" s="294">
        <f>4160334.62+3591217.82</f>
        <v>7751552.4399999995</v>
      </c>
      <c r="C30" s="299">
        <f>C28*3</f>
        <v>36495750</v>
      </c>
      <c r="D30" s="296">
        <f>SUM(B28+B29+B30)-C30</f>
        <v>-2961563.1199999973</v>
      </c>
      <c r="E30" s="302">
        <f>9230068.15+263500665.01</f>
        <v>272730733.15999997</v>
      </c>
      <c r="F30" s="299">
        <f>F28*3</f>
        <v>387006250</v>
      </c>
      <c r="G30" s="296">
        <f>SUM(E28+E29+E30)-F30</f>
        <v>-62062553.450000048</v>
      </c>
      <c r="H30" s="298">
        <f>129275983.97+22436225.46</f>
        <v>151712209.43000001</v>
      </c>
      <c r="I30" s="299">
        <f>I28*3</f>
        <v>795392250</v>
      </c>
      <c r="J30" s="296">
        <f>SUM(H28+H29+H30)-I30</f>
        <v>-21417319.00999999</v>
      </c>
      <c r="K30" s="303">
        <f t="shared" si="0"/>
        <v>551254790.08999991</v>
      </c>
      <c r="L30" s="299">
        <f>L28*3</f>
        <v>1633345000</v>
      </c>
      <c r="M30" s="296">
        <f>SUM(K28+K29+K30)-L30</f>
        <v>-79562153.289999962</v>
      </c>
      <c r="N30" s="301">
        <f>M30/L40</f>
        <v>-1.2177793621372087E-2</v>
      </c>
    </row>
    <row r="31" spans="1:14" s="161" customFormat="1" ht="12.75" x14ac:dyDescent="0.2">
      <c r="A31" s="293" t="s">
        <v>10</v>
      </c>
      <c r="B31" s="294">
        <f>4714701+4257486.26</f>
        <v>8972187.2599999998</v>
      </c>
      <c r="C31" s="295">
        <f>C28*4</f>
        <v>48661000</v>
      </c>
      <c r="D31" s="296">
        <f>SUM(B28+B29+B30+B31)-C31</f>
        <v>-6154625.8599999994</v>
      </c>
      <c r="E31" s="297">
        <f>66107191.36+20191663.35</f>
        <v>86298854.710000008</v>
      </c>
      <c r="F31" s="295">
        <f>F28*4</f>
        <v>516008333.33333331</v>
      </c>
      <c r="G31" s="296">
        <f>SUM(E28+E29+E30+E31)-F31</f>
        <v>-104765782.07333332</v>
      </c>
      <c r="H31" s="304">
        <f>176026879.96+9793059.54</f>
        <v>185819939.5</v>
      </c>
      <c r="I31" s="295">
        <f>I28*4</f>
        <v>1060523000</v>
      </c>
      <c r="J31" s="296">
        <f>SUM(H28+H29+H30+H31)-I31</f>
        <v>-100728129.50999999</v>
      </c>
      <c r="K31" s="303">
        <f t="shared" si="0"/>
        <v>382291183.20000005</v>
      </c>
      <c r="L31" s="295">
        <f>L28*4</f>
        <v>2177793333.3333335</v>
      </c>
      <c r="M31" s="296">
        <f>SUM(K28+K29+K30+K31)-L31</f>
        <v>-241719303.42333341</v>
      </c>
      <c r="N31" s="301">
        <f>M31/L40</f>
        <v>-3.6997588296308101E-2</v>
      </c>
    </row>
    <row r="32" spans="1:14" s="161" customFormat="1" ht="12.75" x14ac:dyDescent="0.2">
      <c r="A32" s="293" t="s">
        <v>11</v>
      </c>
      <c r="B32" s="294">
        <f>5793435.12+4558000.19</f>
        <v>10351435.310000001</v>
      </c>
      <c r="C32" s="295">
        <f>C28*5</f>
        <v>60826250</v>
      </c>
      <c r="D32" s="296">
        <f>SUM(B28+B29+B30+B31+B32)-C32</f>
        <v>-7968440.549999997</v>
      </c>
      <c r="E32" s="302">
        <f>935805.04</f>
        <v>935805.04</v>
      </c>
      <c r="F32" s="295">
        <f>F28*5</f>
        <v>645010416.66666663</v>
      </c>
      <c r="G32" s="296">
        <f>SUM(E28+E29+E30+E31+E32)-F32</f>
        <v>-232832060.36666662</v>
      </c>
      <c r="H32" s="304">
        <f>327906228.91+22734568.05</f>
        <v>350640796.96000004</v>
      </c>
      <c r="I32" s="295">
        <f>I28*5</f>
        <v>1325653750</v>
      </c>
      <c r="J32" s="296">
        <f>SUM(H28+H29+H30+H31+H32)-I32</f>
        <v>-15218082.549999952</v>
      </c>
      <c r="K32" s="303">
        <f t="shared" si="0"/>
        <v>486990226.96000004</v>
      </c>
      <c r="L32" s="295">
        <f>L28*5</f>
        <v>2722241666.666667</v>
      </c>
      <c r="M32" s="296">
        <f>SUM(K28+K29+K30+K31+K32)-L32</f>
        <v>-299177409.7966671</v>
      </c>
      <c r="N32" s="301">
        <f>M32/L40</f>
        <v>-4.5792133596494783E-2</v>
      </c>
    </row>
    <row r="33" spans="1:14" ht="12.75" customHeight="1" x14ac:dyDescent="0.25">
      <c r="A33" s="293" t="s">
        <v>12</v>
      </c>
      <c r="B33" s="294">
        <f>7263683.28+5602984.58</f>
        <v>12866667.859999999</v>
      </c>
      <c r="C33" s="295">
        <f>C28*6</f>
        <v>72991500</v>
      </c>
      <c r="D33" s="296">
        <f>SUM(B28+B29+B30+B31+B32+B33)-C33</f>
        <v>-7267022.6899999976</v>
      </c>
      <c r="E33" s="297">
        <f>7313323.08+278454869.13</f>
        <v>285768192.20999998</v>
      </c>
      <c r="F33" s="295">
        <f>F28*6</f>
        <v>774012500</v>
      </c>
      <c r="G33" s="296">
        <f>SUM(E28+E29+E30+E31+E32+E33)-F33</f>
        <v>-76065951.49000001</v>
      </c>
      <c r="H33" s="304">
        <f>191744215.39+13518337.07</f>
        <v>205262552.45999998</v>
      </c>
      <c r="I33" s="295">
        <f>I28*6</f>
        <v>1590784500</v>
      </c>
      <c r="J33" s="296">
        <f>SUM(H28+H29+H30+H31+H32+H33)-I33</f>
        <v>-75086280.089999914</v>
      </c>
      <c r="K33" s="303">
        <f t="shared" si="0"/>
        <v>652288425</v>
      </c>
      <c r="L33" s="295">
        <f>L28*6</f>
        <v>3266690000</v>
      </c>
      <c r="M33" s="296">
        <f>SUM(K28+K29+K30+K31+K32+K33)-L33</f>
        <v>-191337318.13000011</v>
      </c>
      <c r="N33" s="301">
        <f>M33/L40</f>
        <v>-2.928611501703561E-2</v>
      </c>
    </row>
    <row r="34" spans="1:14" ht="12.75" customHeight="1" x14ac:dyDescent="0.25">
      <c r="A34" s="293" t="s">
        <v>13</v>
      </c>
      <c r="B34" s="294">
        <f>9127660.59+5360558.05</f>
        <v>14488218.640000001</v>
      </c>
      <c r="C34" s="295">
        <f>C28*7</f>
        <v>85156750</v>
      </c>
      <c r="D34" s="296">
        <f>SUM(B28+B29+B30+B31+B32+B33+B34)-C34</f>
        <v>-4944054.049999997</v>
      </c>
      <c r="E34" s="302">
        <f>199272126.63+90312389.36</f>
        <v>289584515.99000001</v>
      </c>
      <c r="F34" s="295">
        <f>F28*7</f>
        <v>903014583.33333325</v>
      </c>
      <c r="G34" s="296">
        <f>SUM(E28+E29+E30+E31+E32+E33+E34)-F34</f>
        <v>84516481.166666746</v>
      </c>
      <c r="H34" s="304">
        <f>256447589.6+14575652.63</f>
        <v>271023242.23000002</v>
      </c>
      <c r="I34" s="295">
        <f>I28*7</f>
        <v>1855915250</v>
      </c>
      <c r="J34" s="296">
        <f>SUM(H28+H29+H30+H31+H32+H33+H34)-I34</f>
        <v>-69193787.859999895</v>
      </c>
      <c r="K34" s="303">
        <f t="shared" si="0"/>
        <v>726514366.76999998</v>
      </c>
      <c r="L34" s="295">
        <f>L28*7</f>
        <v>3811138333.3333335</v>
      </c>
      <c r="M34" s="296">
        <f>SUM(K28+K29+K30+K31+K32+K33+K34)-L34</f>
        <v>-9271284.6933336258</v>
      </c>
      <c r="N34" s="301">
        <f>M34/L40</f>
        <v>-1.4190640515833498E-3</v>
      </c>
    </row>
    <row r="35" spans="1:14" ht="12.75" customHeight="1" x14ac:dyDescent="0.25">
      <c r="A35" s="293" t="s">
        <v>14</v>
      </c>
      <c r="B35" s="294">
        <f>9757581.25+5116818.83</f>
        <v>14874400.08</v>
      </c>
      <c r="C35" s="295">
        <f>C28*8</f>
        <v>97322000</v>
      </c>
      <c r="D35" s="296">
        <f>SUM(B28+B29+B30+B31+B32+B33+B34+B35)-C35</f>
        <v>-2234903.9699999988</v>
      </c>
      <c r="E35" s="297">
        <v>0</v>
      </c>
      <c r="F35" s="295">
        <f>F28*8</f>
        <v>1032016666.6666666</v>
      </c>
      <c r="G35" s="296">
        <f>SUM(E28+E29+E30+E31+E32+E33+E34+E35)-F35</f>
        <v>-44485602.166666627</v>
      </c>
      <c r="H35" s="304">
        <f>322566134.35+17993679.19</f>
        <v>340559813.54000002</v>
      </c>
      <c r="I35" s="295">
        <f>I28*8</f>
        <v>2121046000</v>
      </c>
      <c r="J35" s="296">
        <f>SUM(H28+H29+H30+H31+H32+H33+H34+H35)-I35</f>
        <v>6235275.6800000668</v>
      </c>
      <c r="K35" s="303">
        <f t="shared" si="0"/>
        <v>502318749.14000005</v>
      </c>
      <c r="L35" s="295">
        <f>L28*8</f>
        <v>4355586666.666667</v>
      </c>
      <c r="M35" s="296">
        <f>SUM(K28+K29+K30+K31+K32+K33+K34+K35)-L35</f>
        <v>-51400868.886667252</v>
      </c>
      <c r="N35" s="301">
        <f>M35/L40</f>
        <v>-7.867423735748915E-3</v>
      </c>
    </row>
    <row r="36" spans="1:14" ht="12.75" customHeight="1" x14ac:dyDescent="0.25">
      <c r="A36" s="293" t="s">
        <v>15</v>
      </c>
      <c r="B36" s="294">
        <f>11083771.46+4773542.66</f>
        <v>15857314.120000001</v>
      </c>
      <c r="C36" s="295">
        <f>C28*9</f>
        <v>109487250</v>
      </c>
      <c r="D36" s="296">
        <f>SUM(B28+B29+B30+B31+B32+B33+B34+B35+B36)-C36</f>
        <v>1457160.150000006</v>
      </c>
      <c r="E36" s="302">
        <f>204785616.62</f>
        <v>204785616.62</v>
      </c>
      <c r="F36" s="295">
        <f>F28*9</f>
        <v>1161018750</v>
      </c>
      <c r="G36" s="296">
        <f>SUM(E28+E29+E30+E31+E32+E33+E34+E35+E36)-F36</f>
        <v>31297931.119999886</v>
      </c>
      <c r="H36" s="304">
        <f>163038523.61</f>
        <v>163038523.61000001</v>
      </c>
      <c r="I36" s="295">
        <f>I28*9</f>
        <v>2386176750</v>
      </c>
      <c r="J36" s="296">
        <f>SUM(H28+H29+H30+H31+H32+H33+H34+H35+H36)-I36</f>
        <v>-95856950.710000038</v>
      </c>
      <c r="K36" s="303">
        <f t="shared" si="0"/>
        <v>526323199.38</v>
      </c>
      <c r="L36" s="295">
        <f>L28*9</f>
        <v>4900035000</v>
      </c>
      <c r="M36" s="296">
        <f>SUM(K28+K29+K30+K31+K32+K33+K34+K35+K36)-L36</f>
        <v>-69526002.840000153</v>
      </c>
      <c r="N36" s="301">
        <f>M36/L40</f>
        <v>-1.0641659116720619E-2</v>
      </c>
    </row>
    <row r="37" spans="1:14" s="161" customFormat="1" ht="12.75" customHeight="1" x14ac:dyDescent="0.2">
      <c r="A37" s="293" t="s">
        <v>16</v>
      </c>
      <c r="B37" s="294">
        <f>7883727.56+5273887.46</f>
        <v>13157615.02</v>
      </c>
      <c r="C37" s="295">
        <f>C28*10</f>
        <v>121652500</v>
      </c>
      <c r="D37" s="296">
        <f>SUM(B28+B29+B30+B31+B32+B33+B34+B35+B36+B37)-C37</f>
        <v>2449525.1700000018</v>
      </c>
      <c r="E37" s="297">
        <f>39098160.24+39539865.61</f>
        <v>78638025.849999994</v>
      </c>
      <c r="F37" s="295">
        <f>F28*10</f>
        <v>1290020833.3333333</v>
      </c>
      <c r="G37" s="296">
        <f>SUM(E28+E29+E30+E31+E32+E33+E34+E35+E36+E37)-F37</f>
        <v>-19066126.363333464</v>
      </c>
      <c r="H37" s="304">
        <f>246333627.85+19021183.96</f>
        <v>265354811.81</v>
      </c>
      <c r="I37" s="295">
        <f>I28*10</f>
        <v>2651307500</v>
      </c>
      <c r="J37" s="296">
        <f>SUM(H28+H29+H30+H31+H32+H33+H34+H35+H36+H37)-I37</f>
        <v>-95632888.900000095</v>
      </c>
      <c r="K37" s="303">
        <f t="shared" si="0"/>
        <v>490549020.81999999</v>
      </c>
      <c r="L37" s="295">
        <f>L28*10</f>
        <v>5444483333.333334</v>
      </c>
      <c r="M37" s="296">
        <f>SUM(K28+K29+K30+K31+K32+K33+K34+K35+K36+K37)-L37</f>
        <v>-123425315.35333443</v>
      </c>
      <c r="N37" s="301">
        <f>M37/L40</f>
        <v>-1.8891494961770849E-2</v>
      </c>
    </row>
    <row r="38" spans="1:14" ht="12.75" customHeight="1" x14ac:dyDescent="0.25">
      <c r="A38" s="293" t="s">
        <v>17</v>
      </c>
      <c r="B38" s="294">
        <f>7270108.23+4931611.98</f>
        <v>12201720.210000001</v>
      </c>
      <c r="C38" s="295">
        <f>C28*11</f>
        <v>133817750</v>
      </c>
      <c r="D38" s="296">
        <f>SUM(B28+B29+B30+B31+B32+B33+B34+B35+B36+B37+B38)-C38</f>
        <v>2485995.3799999952</v>
      </c>
      <c r="E38" s="297">
        <f>12297531.27+3926894.73</f>
        <v>16224426</v>
      </c>
      <c r="F38" s="295">
        <f>F28*11</f>
        <v>1419022916.6666665</v>
      </c>
      <c r="G38" s="296">
        <f>SUM(E28+E29+E30+E31+E32+E33+E34+E35+E36+E37+E38)-F38</f>
        <v>-131843783.69666672</v>
      </c>
      <c r="H38" s="304">
        <f>327901389.77+15028994.89</f>
        <v>342930384.65999997</v>
      </c>
      <c r="I38" s="295">
        <f>I28*11</f>
        <v>2916438250</v>
      </c>
      <c r="J38" s="296">
        <f>SUM(H28+H29+H30+H31+H32+H33+H34+H35+H36+H37+H38)-I38</f>
        <v>-17833254.240000248</v>
      </c>
      <c r="K38" s="303">
        <f t="shared" si="0"/>
        <v>528418700.12</v>
      </c>
      <c r="L38" s="295">
        <f>L28*11</f>
        <v>5988931666.666667</v>
      </c>
      <c r="M38" s="296">
        <f>SUM(K28+K29+K30+K31+K32+K33+K34+K35+K36+K37+K38)-L38</f>
        <v>-139454948.56666756</v>
      </c>
      <c r="N38" s="301">
        <f>M38/L40</f>
        <v>-2.1344992724541899E-2</v>
      </c>
    </row>
    <row r="39" spans="1:14" ht="12.75" customHeight="1" thickBot="1" x14ac:dyDescent="0.3">
      <c r="A39" s="329" t="s">
        <v>18</v>
      </c>
      <c r="B39" s="323">
        <f>5015387.3+5831332</f>
        <v>10846719.300000001</v>
      </c>
      <c r="C39" s="321">
        <f>C28*12</f>
        <v>145983000</v>
      </c>
      <c r="D39" s="296">
        <f>SUM(B28+B29+B30+B31+B32+B33+B34+B35+B36+B37+B38+B39)-C39</f>
        <v>1167464.6800000072</v>
      </c>
      <c r="E39" s="324">
        <f>279558303.85</f>
        <v>279558303.85000002</v>
      </c>
      <c r="F39" s="321">
        <f>F28*12</f>
        <v>1548025000</v>
      </c>
      <c r="G39" s="325">
        <f>SUM(E28+E29+E30+E31+E32+E33+E34+E35+E36+E37+E38+E39)-F39</f>
        <v>18712436.819999695</v>
      </c>
      <c r="H39" s="326">
        <f>251114810.26+27684278.8</f>
        <v>278799089.06</v>
      </c>
      <c r="I39" s="321">
        <f>I28*12</f>
        <v>3181569000</v>
      </c>
      <c r="J39" s="296">
        <f>SUM(H28+H29+H30+H31+H32+H33+H34+H35+H36+H37+H38+H39)-I39</f>
        <v>-4164915.1800003052</v>
      </c>
      <c r="K39" s="305">
        <f t="shared" si="0"/>
        <v>754432252.75999999</v>
      </c>
      <c r="L39" s="327">
        <f>L28*12</f>
        <v>6533380000</v>
      </c>
      <c r="M39" s="328">
        <f>SUM(K28+K29+K30+K31+K32+K33+K34+K35+K36+K37+K38+K39)-L39</f>
        <v>70528970.859999657</v>
      </c>
      <c r="N39" s="301">
        <f>M39/L40</f>
        <v>1.07951735334543E-2</v>
      </c>
    </row>
    <row r="40" spans="1:14" ht="12.75" customHeight="1" thickBot="1" x14ac:dyDescent="0.3">
      <c r="A40" s="306" t="s">
        <v>19</v>
      </c>
      <c r="B40" s="342">
        <f>SUM(B28:B39)</f>
        <v>147150464.68000001</v>
      </c>
      <c r="C40" s="307">
        <f>152689000-6706000</f>
        <v>145983000</v>
      </c>
      <c r="D40" s="308"/>
      <c r="E40" s="344">
        <f>SUM(E28:E39)</f>
        <v>1566737436.8199997</v>
      </c>
      <c r="F40" s="309">
        <f>1519014000+29011000</f>
        <v>1548025000</v>
      </c>
      <c r="G40" s="310"/>
      <c r="H40" s="342">
        <f>SUM(H28:H39)</f>
        <v>3177404084.8199997</v>
      </c>
      <c r="I40" s="307">
        <f>2896575000+284994000</f>
        <v>3181569000</v>
      </c>
      <c r="J40" s="311"/>
      <c r="K40" s="343">
        <f t="shared" si="0"/>
        <v>6603908970.8599997</v>
      </c>
      <c r="L40" s="312">
        <f>SUM(F20+I20+L20+O20+F40+I40+C20+C40)</f>
        <v>6533380000</v>
      </c>
      <c r="M40" s="313"/>
      <c r="N40" s="314"/>
    </row>
    <row r="41" spans="1:14" x14ac:dyDescent="0.25">
      <c r="A41" s="172"/>
      <c r="B41" s="158"/>
      <c r="C41" s="158"/>
      <c r="D41" s="158"/>
      <c r="E41" s="158"/>
      <c r="F41" s="158"/>
      <c r="G41" s="158"/>
      <c r="H41" s="156"/>
      <c r="I41" s="158"/>
      <c r="J41" s="158"/>
      <c r="K41" s="158"/>
      <c r="L41" s="158"/>
      <c r="M41" s="158"/>
    </row>
    <row r="42" spans="1:14" x14ac:dyDescent="0.25">
      <c r="A42" s="625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</row>
    <row r="43" spans="1:14" x14ac:dyDescent="0.25">
      <c r="K43" s="189"/>
      <c r="L43" s="190"/>
    </row>
    <row r="44" spans="1:14" x14ac:dyDescent="0.25">
      <c r="K44" s="189"/>
    </row>
    <row r="45" spans="1:14" x14ac:dyDescent="0.25">
      <c r="K45" s="189"/>
    </row>
    <row r="46" spans="1:14" x14ac:dyDescent="0.25">
      <c r="K46" s="189"/>
    </row>
    <row r="48" spans="1:14" x14ac:dyDescent="0.25">
      <c r="K48" s="191"/>
    </row>
  </sheetData>
  <mergeCells count="38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B24:D25"/>
    <mergeCell ref="E24:G25"/>
    <mergeCell ref="H24:J25"/>
    <mergeCell ref="K24:M25"/>
    <mergeCell ref="B26:B27"/>
    <mergeCell ref="C26:C27"/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8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 tint="-0.499984740745262"/>
  </sheetPr>
  <dimension ref="A1:S71"/>
  <sheetViews>
    <sheetView showGridLines="0" zoomScaleNormal="100" workbookViewId="0">
      <selection activeCell="U86" sqref="U86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78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20.25" x14ac:dyDescent="0.3">
      <c r="B2" s="587" t="s">
        <v>91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92"/>
      <c r="P2" s="592"/>
      <c r="Q2" s="592"/>
      <c r="R2" s="592"/>
      <c r="S2" s="592"/>
    </row>
    <row r="3" spans="1:19" ht="12.75" customHeight="1" x14ac:dyDescent="0.25">
      <c r="A3" s="59"/>
    </row>
    <row r="20" spans="9:12" x14ac:dyDescent="0.2">
      <c r="I20" s="1">
        <v>14680000</v>
      </c>
      <c r="L20" s="1">
        <f>36322000+5077000</f>
        <v>41399000</v>
      </c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79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  <row r="49" spans="2:19" ht="20.25" x14ac:dyDescent="0.3">
      <c r="B49" s="587" t="s">
        <v>91</v>
      </c>
      <c r="C49" s="586"/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92"/>
      <c r="P49" s="592"/>
      <c r="Q49" s="592"/>
      <c r="R49" s="592"/>
      <c r="S49" s="592"/>
    </row>
    <row r="71" spans="11:19" x14ac:dyDescent="0.2">
      <c r="K71" s="632" t="s">
        <v>80</v>
      </c>
      <c r="L71" s="633"/>
      <c r="M71" s="633"/>
      <c r="N71" s="633"/>
      <c r="O71" s="633"/>
      <c r="P71" s="633"/>
      <c r="Q71" s="633"/>
      <c r="R71" s="633"/>
      <c r="S71" s="633"/>
    </row>
  </sheetData>
  <mergeCells count="5">
    <mergeCell ref="B1:S1"/>
    <mergeCell ref="B2:S2"/>
    <mergeCell ref="B48:S48"/>
    <mergeCell ref="B49:S49"/>
    <mergeCell ref="K71:S71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5" tint="-0.499984740745262"/>
    <pageSetUpPr fitToPage="1"/>
  </sheetPr>
  <dimension ref="A1:N48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14062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85" t="s">
        <v>81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20.25" x14ac:dyDescent="0.3">
      <c r="A2" s="587" t="s">
        <v>91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</row>
    <row r="3" spans="1:14" ht="13.5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2.75" customHeight="1" x14ac:dyDescent="0.2">
      <c r="A4" s="567" t="s">
        <v>2</v>
      </c>
      <c r="B4" s="598" t="s">
        <v>88</v>
      </c>
      <c r="C4" s="599"/>
      <c r="D4" s="600"/>
      <c r="E4" s="631" t="s">
        <v>89</v>
      </c>
      <c r="F4" s="599"/>
      <c r="G4" s="600"/>
      <c r="H4" s="605" t="s">
        <v>86</v>
      </c>
      <c r="I4" s="599"/>
      <c r="J4" s="600"/>
      <c r="K4" s="606" t="s">
        <v>87</v>
      </c>
      <c r="L4" s="599"/>
      <c r="M4" s="600"/>
      <c r="N4" s="73"/>
    </row>
    <row r="5" spans="1:14" ht="13.5" thickBot="1" x14ac:dyDescent="0.25">
      <c r="A5" s="568"/>
      <c r="B5" s="601"/>
      <c r="C5" s="602"/>
      <c r="D5" s="603"/>
      <c r="E5" s="601"/>
      <c r="F5" s="602"/>
      <c r="G5" s="603"/>
      <c r="H5" s="601"/>
      <c r="I5" s="602"/>
      <c r="J5" s="603"/>
      <c r="K5" s="601"/>
      <c r="L5" s="602"/>
      <c r="M5" s="603"/>
      <c r="N5" s="71"/>
    </row>
    <row r="6" spans="1:14" x14ac:dyDescent="0.2">
      <c r="A6" s="568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55" t="s">
        <v>5</v>
      </c>
      <c r="I6" s="557" t="s">
        <v>31</v>
      </c>
      <c r="J6" s="559" t="s">
        <v>32</v>
      </c>
      <c r="K6" s="584" t="s">
        <v>6</v>
      </c>
      <c r="L6" s="557" t="s">
        <v>31</v>
      </c>
      <c r="M6" s="559" t="s">
        <v>32</v>
      </c>
    </row>
    <row r="7" spans="1:14" ht="13.5" thickBot="1" x14ac:dyDescent="0.25">
      <c r="A7" s="569"/>
      <c r="B7" s="556"/>
      <c r="C7" s="558"/>
      <c r="D7" s="560"/>
      <c r="E7" s="556"/>
      <c r="F7" s="558"/>
      <c r="G7" s="560"/>
      <c r="H7" s="556"/>
      <c r="I7" s="558"/>
      <c r="J7" s="560"/>
      <c r="K7" s="556"/>
      <c r="L7" s="558"/>
      <c r="M7" s="560"/>
    </row>
    <row r="8" spans="1:14" x14ac:dyDescent="0.2">
      <c r="A8" s="245" t="s">
        <v>7</v>
      </c>
      <c r="B8" s="247">
        <f>55117676.21+76110643.91</f>
        <v>131228320.12</v>
      </c>
      <c r="C8" s="248">
        <f>C20/12</f>
        <v>125019750</v>
      </c>
      <c r="D8" s="249">
        <f>B8-C8</f>
        <v>6208570.1200000048</v>
      </c>
      <c r="E8" s="250">
        <f>3687603.08+5092775.77</f>
        <v>8780378.8499999996</v>
      </c>
      <c r="F8" s="248">
        <f>F20/12</f>
        <v>8457250</v>
      </c>
      <c r="G8" s="249">
        <f>E8-F8</f>
        <v>323128.84999999963</v>
      </c>
      <c r="H8" s="250">
        <f>14680372.84+312.02</f>
        <v>14680684.859999999</v>
      </c>
      <c r="I8" s="248">
        <f>I20/12</f>
        <v>1223333.3333333333</v>
      </c>
      <c r="J8" s="251">
        <f>H8-I8</f>
        <v>13457351.526666665</v>
      </c>
      <c r="K8" s="250">
        <f>3160549.16+679291.39</f>
        <v>3839840.5500000003</v>
      </c>
      <c r="L8" s="248">
        <f>L20/12</f>
        <v>3449916.6666666665</v>
      </c>
      <c r="M8" s="251">
        <f>K8-L8</f>
        <v>389923.88333333377</v>
      </c>
    </row>
    <row r="9" spans="1:14" x14ac:dyDescent="0.2">
      <c r="A9" s="246" t="s">
        <v>8</v>
      </c>
      <c r="B9" s="252">
        <f>61023307.32+72092279.03+B8</f>
        <v>264343906.47</v>
      </c>
      <c r="C9" s="253">
        <f>C8*2</f>
        <v>250039500</v>
      </c>
      <c r="D9" s="249">
        <f>B9-C9</f>
        <v>14304406.469999999</v>
      </c>
      <c r="E9" s="247">
        <f>4082714.46+4823274.99+E8</f>
        <v>17686368.299999997</v>
      </c>
      <c r="F9" s="253">
        <f>F8*2</f>
        <v>16914500</v>
      </c>
      <c r="G9" s="249">
        <f>E9-F9</f>
        <v>771868.29999999702</v>
      </c>
      <c r="H9" s="247">
        <f t="shared" ref="H9:H19" si="0">H8</f>
        <v>14680684.859999999</v>
      </c>
      <c r="I9" s="253">
        <f>I8*2</f>
        <v>2446666.6666666665</v>
      </c>
      <c r="J9" s="249">
        <f>H9-I9</f>
        <v>12234018.193333333</v>
      </c>
      <c r="K9" s="252">
        <f>695505.98+1023431.07+K8</f>
        <v>5558777.5999999996</v>
      </c>
      <c r="L9" s="253">
        <f>L8*2</f>
        <v>6899833.333333333</v>
      </c>
      <c r="M9" s="249">
        <f>K9-L9</f>
        <v>-1341055.7333333334</v>
      </c>
    </row>
    <row r="10" spans="1:14" x14ac:dyDescent="0.2">
      <c r="A10" s="246" t="s">
        <v>9</v>
      </c>
      <c r="B10" s="252">
        <f>46789518.35+60805695.94+B9</f>
        <v>371939120.75999999</v>
      </c>
      <c r="C10" s="253">
        <f>C8*3</f>
        <v>375059250</v>
      </c>
      <c r="D10" s="249">
        <f t="shared" ref="D10:D19" si="1">B10-C10</f>
        <v>-3120129.2400000095</v>
      </c>
      <c r="E10" s="247">
        <f>3130414.46+4070582.58+E9</f>
        <v>24887365.339999996</v>
      </c>
      <c r="F10" s="254">
        <f>F8*3</f>
        <v>25371750</v>
      </c>
      <c r="G10" s="249">
        <f t="shared" ref="G10:G19" si="2">E10-F10</f>
        <v>-484384.66000000387</v>
      </c>
      <c r="H10" s="247">
        <f t="shared" si="0"/>
        <v>14680684.859999999</v>
      </c>
      <c r="I10" s="254">
        <f>I8*3</f>
        <v>3670000</v>
      </c>
      <c r="J10" s="249">
        <f t="shared" ref="J10:J19" si="3">H10-I10</f>
        <v>11010684.859999999</v>
      </c>
      <c r="K10" s="252">
        <f>1775601.55+2488482.18+K9</f>
        <v>9822861.3300000001</v>
      </c>
      <c r="L10" s="254">
        <f>L8*3</f>
        <v>10349750</v>
      </c>
      <c r="M10" s="249">
        <f t="shared" ref="M10:M19" si="4">K10-L10</f>
        <v>-526888.66999999993</v>
      </c>
    </row>
    <row r="11" spans="1:14" x14ac:dyDescent="0.2">
      <c r="A11" s="246" t="s">
        <v>10</v>
      </c>
      <c r="B11" s="252">
        <f>38598074.26+56255993.61+B10</f>
        <v>466793188.63</v>
      </c>
      <c r="C11" s="253">
        <f>C8*4</f>
        <v>500079000</v>
      </c>
      <c r="D11" s="249">
        <f t="shared" si="1"/>
        <v>-33285811.370000005</v>
      </c>
      <c r="E11" s="247">
        <f>2582372.61+3763761.25+E10</f>
        <v>31233499.199999996</v>
      </c>
      <c r="F11" s="253">
        <f>F8*4</f>
        <v>33829000</v>
      </c>
      <c r="G11" s="249">
        <f t="shared" si="2"/>
        <v>-2595500.8000000045</v>
      </c>
      <c r="H11" s="247">
        <f t="shared" si="0"/>
        <v>14680684.859999999</v>
      </c>
      <c r="I11" s="253">
        <f>I8*4</f>
        <v>4893333.333333333</v>
      </c>
      <c r="J11" s="249">
        <f t="shared" si="3"/>
        <v>9787351.5266666673</v>
      </c>
      <c r="K11" s="252">
        <f t="shared" ref="K11:K20" si="5">K10</f>
        <v>9822861.3300000001</v>
      </c>
      <c r="L11" s="253">
        <f>L8*4</f>
        <v>13799666.666666666</v>
      </c>
      <c r="M11" s="249">
        <f t="shared" si="4"/>
        <v>-3976805.336666666</v>
      </c>
    </row>
    <row r="12" spans="1:14" x14ac:dyDescent="0.2">
      <c r="A12" s="246" t="s">
        <v>11</v>
      </c>
      <c r="B12" s="252">
        <f>39275881.04+77943820.28+B11</f>
        <v>584012889.95000005</v>
      </c>
      <c r="C12" s="253">
        <f>C8*5</f>
        <v>625098750</v>
      </c>
      <c r="D12" s="249">
        <f t="shared" si="1"/>
        <v>-41085860.049999952</v>
      </c>
      <c r="E12" s="247">
        <f>2627720.75+5214767.58+E11</f>
        <v>39075987.529999994</v>
      </c>
      <c r="F12" s="253">
        <f>F8*5</f>
        <v>42286250</v>
      </c>
      <c r="G12" s="249">
        <f t="shared" si="2"/>
        <v>-3210262.4700000063</v>
      </c>
      <c r="H12" s="247">
        <f t="shared" si="0"/>
        <v>14680684.859999999</v>
      </c>
      <c r="I12" s="253">
        <f>I8*5</f>
        <v>6116666.666666666</v>
      </c>
      <c r="J12" s="249">
        <f t="shared" si="3"/>
        <v>8564018.1933333334</v>
      </c>
      <c r="K12" s="252">
        <f t="shared" si="5"/>
        <v>9822861.3300000001</v>
      </c>
      <c r="L12" s="253">
        <f>L8*5</f>
        <v>17249583.333333332</v>
      </c>
      <c r="M12" s="249">
        <f t="shared" si="4"/>
        <v>-7426722.003333332</v>
      </c>
    </row>
    <row r="13" spans="1:14" x14ac:dyDescent="0.2">
      <c r="A13" s="246" t="s">
        <v>12</v>
      </c>
      <c r="B13" s="252">
        <f>55210692.85+83874911+B12</f>
        <v>723098493.80000007</v>
      </c>
      <c r="C13" s="253">
        <f>C8*6</f>
        <v>750118500</v>
      </c>
      <c r="D13" s="249">
        <f t="shared" si="1"/>
        <v>-27020006.199999928</v>
      </c>
      <c r="E13" s="247">
        <f>3693826.27+5611582.35+E12</f>
        <v>48381396.149999991</v>
      </c>
      <c r="F13" s="253">
        <f>F8*6</f>
        <v>50743500</v>
      </c>
      <c r="G13" s="249">
        <f t="shared" si="2"/>
        <v>-2362103.8500000089</v>
      </c>
      <c r="H13" s="247">
        <f t="shared" si="0"/>
        <v>14680684.859999999</v>
      </c>
      <c r="I13" s="253">
        <f>I8*6</f>
        <v>7340000</v>
      </c>
      <c r="J13" s="249">
        <f t="shared" si="3"/>
        <v>7340684.8599999994</v>
      </c>
      <c r="K13" s="252">
        <f t="shared" si="5"/>
        <v>9822861.3300000001</v>
      </c>
      <c r="L13" s="253">
        <f>L8*6</f>
        <v>20699500</v>
      </c>
      <c r="M13" s="249">
        <f t="shared" si="4"/>
        <v>-10876638.67</v>
      </c>
    </row>
    <row r="14" spans="1:14" x14ac:dyDescent="0.2">
      <c r="A14" s="246" t="s">
        <v>13</v>
      </c>
      <c r="B14" s="252">
        <f>53312297.79+81830419.86+B13</f>
        <v>858241211.45000005</v>
      </c>
      <c r="C14" s="253">
        <f>C8*7</f>
        <v>875138250</v>
      </c>
      <c r="D14" s="249">
        <f t="shared" si="1"/>
        <v>-16897038.549999952</v>
      </c>
      <c r="E14" s="247">
        <f>3566815.71+5474797.34+E13</f>
        <v>57423009.199999988</v>
      </c>
      <c r="F14" s="253">
        <f>F8*7</f>
        <v>59200750</v>
      </c>
      <c r="G14" s="249">
        <f t="shared" si="2"/>
        <v>-1777740.8000000119</v>
      </c>
      <c r="H14" s="247">
        <f t="shared" si="0"/>
        <v>14680684.859999999</v>
      </c>
      <c r="I14" s="253">
        <f>I8*7</f>
        <v>8563333.3333333321</v>
      </c>
      <c r="J14" s="249">
        <f t="shared" si="3"/>
        <v>6117351.5266666673</v>
      </c>
      <c r="K14" s="252">
        <f>827738.47+6406320.74+K13</f>
        <v>17056920.539999999</v>
      </c>
      <c r="L14" s="253">
        <f>L8*7</f>
        <v>24149416.666666664</v>
      </c>
      <c r="M14" s="249">
        <f t="shared" si="4"/>
        <v>-7092496.1266666651</v>
      </c>
    </row>
    <row r="15" spans="1:14" x14ac:dyDescent="0.2">
      <c r="A15" s="246" t="s">
        <v>14</v>
      </c>
      <c r="B15" s="252">
        <f>55345403.31+82328192.78+B14</f>
        <v>995914807.54000008</v>
      </c>
      <c r="C15" s="253">
        <f>C8*8</f>
        <v>1000158000</v>
      </c>
      <c r="D15" s="249">
        <f t="shared" si="1"/>
        <v>-4243192.4599999189</v>
      </c>
      <c r="E15" s="247">
        <f>3702838.98+5508100.45+E14</f>
        <v>66633948.629999988</v>
      </c>
      <c r="F15" s="253">
        <f>F8*8</f>
        <v>67658000</v>
      </c>
      <c r="G15" s="249">
        <f t="shared" si="2"/>
        <v>-1024051.3700000122</v>
      </c>
      <c r="H15" s="247">
        <f t="shared" si="0"/>
        <v>14680684.859999999</v>
      </c>
      <c r="I15" s="253">
        <f>I8*8</f>
        <v>9786666.666666666</v>
      </c>
      <c r="J15" s="249">
        <f t="shared" si="3"/>
        <v>4894018.1933333334</v>
      </c>
      <c r="K15" s="252">
        <f t="shared" si="5"/>
        <v>17056920.539999999</v>
      </c>
      <c r="L15" s="253">
        <f>L8*8</f>
        <v>27599333.333333332</v>
      </c>
      <c r="M15" s="249">
        <f t="shared" si="4"/>
        <v>-10542412.793333333</v>
      </c>
    </row>
    <row r="16" spans="1:14" x14ac:dyDescent="0.2">
      <c r="A16" s="246" t="s">
        <v>15</v>
      </c>
      <c r="B16" s="252">
        <f>51717304.36+75028043.9+B15</f>
        <v>1122660155.8000002</v>
      </c>
      <c r="C16" s="253">
        <f>C8*9</f>
        <v>1125177750</v>
      </c>
      <c r="D16" s="249">
        <f t="shared" si="1"/>
        <v>-2517594.1999998093</v>
      </c>
      <c r="E16" s="247">
        <f>3460103.98+6322715.54+E15</f>
        <v>76416768.149999991</v>
      </c>
      <c r="F16" s="253">
        <f>F8*9</f>
        <v>76115250</v>
      </c>
      <c r="G16" s="249">
        <f t="shared" si="2"/>
        <v>301518.14999999106</v>
      </c>
      <c r="H16" s="247">
        <f t="shared" si="0"/>
        <v>14680684.859999999</v>
      </c>
      <c r="I16" s="253">
        <f>I8*9</f>
        <v>11010000</v>
      </c>
      <c r="J16" s="249">
        <f t="shared" si="3"/>
        <v>3670684.8599999994</v>
      </c>
      <c r="K16" s="252">
        <f>6113577.25+K15</f>
        <v>23170497.789999999</v>
      </c>
      <c r="L16" s="253">
        <f>L8*9</f>
        <v>31049250</v>
      </c>
      <c r="M16" s="249">
        <f t="shared" si="4"/>
        <v>-7878752.2100000009</v>
      </c>
    </row>
    <row r="17" spans="1:14" x14ac:dyDescent="0.2">
      <c r="A17" s="246" t="s">
        <v>16</v>
      </c>
      <c r="B17" s="252">
        <f>47197799.11+75020541.72+B16</f>
        <v>1244878496.6300001</v>
      </c>
      <c r="C17" s="253">
        <f>C8*10</f>
        <v>1250197500</v>
      </c>
      <c r="D17" s="249">
        <f t="shared" si="1"/>
        <v>-5319003.3699998856</v>
      </c>
      <c r="E17" s="247">
        <f>3215336.57+5110753+E16</f>
        <v>84742857.719999999</v>
      </c>
      <c r="F17" s="253">
        <f>F8*10</f>
        <v>84572500</v>
      </c>
      <c r="G17" s="249">
        <f t="shared" si="2"/>
        <v>170357.71999999881</v>
      </c>
      <c r="H17" s="247">
        <f t="shared" si="0"/>
        <v>14680684.859999999</v>
      </c>
      <c r="I17" s="253">
        <f>I8*10</f>
        <v>12233333.333333332</v>
      </c>
      <c r="J17" s="249">
        <f t="shared" si="3"/>
        <v>2447351.5266666673</v>
      </c>
      <c r="K17" s="252">
        <f>2046537.11+807600.63+K16</f>
        <v>26024635.530000001</v>
      </c>
      <c r="L17" s="253">
        <f>L8*10</f>
        <v>34499166.666666664</v>
      </c>
      <c r="M17" s="249">
        <f t="shared" si="4"/>
        <v>-8474531.136666663</v>
      </c>
    </row>
    <row r="18" spans="1:14" x14ac:dyDescent="0.2">
      <c r="A18" s="246" t="s">
        <v>17</v>
      </c>
      <c r="B18" s="252">
        <f>56234287.72+88912264.64+B17</f>
        <v>1390025048.9900002</v>
      </c>
      <c r="C18" s="253">
        <f>C8*11</f>
        <v>1375217250</v>
      </c>
      <c r="D18" s="249">
        <f t="shared" si="1"/>
        <v>14807798.990000248</v>
      </c>
      <c r="E18" s="247">
        <f>3830944.78+6057122.6+E17</f>
        <v>94630925.099999994</v>
      </c>
      <c r="F18" s="253">
        <f>F8*11</f>
        <v>93029750</v>
      </c>
      <c r="G18" s="249">
        <f t="shared" si="2"/>
        <v>1601175.099999994</v>
      </c>
      <c r="H18" s="247">
        <f t="shared" si="0"/>
        <v>14680684.859999999</v>
      </c>
      <c r="I18" s="253">
        <f>I8*11</f>
        <v>13456666.666666666</v>
      </c>
      <c r="J18" s="249">
        <f t="shared" si="3"/>
        <v>1224018.1933333334</v>
      </c>
      <c r="K18" s="252">
        <f>1345328.26+682221.25+K17</f>
        <v>28052185.040000003</v>
      </c>
      <c r="L18" s="253">
        <f>L8*11</f>
        <v>37949083.333333328</v>
      </c>
      <c r="M18" s="249">
        <f t="shared" si="4"/>
        <v>-9896898.2933333255</v>
      </c>
    </row>
    <row r="19" spans="1:14" ht="13.5" thickBot="1" x14ac:dyDescent="0.25">
      <c r="A19" s="339" t="s">
        <v>18</v>
      </c>
      <c r="B19" s="331">
        <f>48020231.52+112138892.43+B18</f>
        <v>1550184172.9400003</v>
      </c>
      <c r="C19" s="332">
        <f>C8*12</f>
        <v>1500237000</v>
      </c>
      <c r="D19" s="249">
        <f t="shared" si="1"/>
        <v>49947172.940000296</v>
      </c>
      <c r="E19" s="333">
        <f>3271364.54+7639430.03+E18</f>
        <v>105541719.66999999</v>
      </c>
      <c r="F19" s="332">
        <f>F8*12</f>
        <v>101487000</v>
      </c>
      <c r="G19" s="249">
        <f t="shared" si="2"/>
        <v>4054719.6699999869</v>
      </c>
      <c r="H19" s="333">
        <f t="shared" si="0"/>
        <v>14680684.859999999</v>
      </c>
      <c r="I19" s="332">
        <f>I8*12</f>
        <v>14680000</v>
      </c>
      <c r="J19" s="249">
        <f t="shared" si="3"/>
        <v>684.85999999940395</v>
      </c>
      <c r="K19" s="331">
        <f>882498.75+13275723.28+K18</f>
        <v>42210407.07</v>
      </c>
      <c r="L19" s="332">
        <f>L8*12</f>
        <v>41399000</v>
      </c>
      <c r="M19" s="249">
        <f t="shared" si="4"/>
        <v>811407.0700000003</v>
      </c>
    </row>
    <row r="20" spans="1:14" ht="13.5" thickBot="1" x14ac:dyDescent="0.25">
      <c r="A20" s="257" t="s">
        <v>19</v>
      </c>
      <c r="B20" s="345">
        <f t="shared" ref="B20" si="6">B19</f>
        <v>1550184172.9400003</v>
      </c>
      <c r="C20" s="258">
        <f>1400297000+99940000</f>
        <v>1500237000</v>
      </c>
      <c r="D20" s="259"/>
      <c r="E20" s="345">
        <f t="shared" ref="E20" si="7">E19</f>
        <v>105541719.66999999</v>
      </c>
      <c r="F20" s="258">
        <f>94726000+6761000</f>
        <v>101487000</v>
      </c>
      <c r="G20" s="260"/>
      <c r="H20" s="345">
        <f t="shared" ref="H20" si="8">H19</f>
        <v>14680684.859999999</v>
      </c>
      <c r="I20" s="258">
        <v>14680000</v>
      </c>
      <c r="J20" s="260"/>
      <c r="K20" s="345">
        <f t="shared" si="5"/>
        <v>42210407.07</v>
      </c>
      <c r="L20" s="258">
        <f>36322000+5077000</f>
        <v>41399000</v>
      </c>
      <c r="M20" s="260"/>
    </row>
    <row r="21" spans="1:14" ht="1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4" ht="15" customHeight="1" x14ac:dyDescent="0.2">
      <c r="A22" s="71"/>
      <c r="B22" s="73"/>
      <c r="C22" s="73"/>
      <c r="D22" s="91"/>
      <c r="E22" s="90"/>
      <c r="F22" s="73"/>
      <c r="G22" s="73"/>
      <c r="H22" s="71"/>
      <c r="I22" s="73"/>
      <c r="J22" s="91"/>
      <c r="K22" s="71"/>
      <c r="L22" s="73"/>
      <c r="M22" s="71"/>
    </row>
    <row r="23" spans="1:14" ht="15" customHeight="1" thickBot="1" x14ac:dyDescent="0.25">
      <c r="A23" s="92"/>
      <c r="B23" s="73"/>
      <c r="C23" s="93"/>
      <c r="D23" s="73"/>
      <c r="E23" s="73"/>
      <c r="F23" s="73"/>
      <c r="G23" s="73"/>
      <c r="M23" s="135" t="s">
        <v>26</v>
      </c>
    </row>
    <row r="24" spans="1:14" x14ac:dyDescent="0.2">
      <c r="A24" s="567" t="s">
        <v>2</v>
      </c>
      <c r="B24" s="570" t="s">
        <v>36</v>
      </c>
      <c r="C24" s="571"/>
      <c r="D24" s="572"/>
      <c r="E24" s="576" t="s">
        <v>20</v>
      </c>
      <c r="F24" s="577"/>
      <c r="G24" s="578"/>
      <c r="H24" s="582" t="s">
        <v>21</v>
      </c>
      <c r="I24" s="577"/>
      <c r="J24" s="578"/>
      <c r="K24" s="583" t="s">
        <v>22</v>
      </c>
      <c r="L24" s="577"/>
      <c r="M24" s="578"/>
    </row>
    <row r="25" spans="1:14" ht="13.5" thickBot="1" x14ac:dyDescent="0.25">
      <c r="A25" s="568"/>
      <c r="B25" s="573"/>
      <c r="C25" s="574"/>
      <c r="D25" s="575"/>
      <c r="E25" s="579"/>
      <c r="F25" s="580"/>
      <c r="G25" s="581"/>
      <c r="H25" s="579"/>
      <c r="I25" s="580"/>
      <c r="J25" s="581"/>
      <c r="K25" s="579"/>
      <c r="L25" s="580"/>
      <c r="M25" s="581"/>
    </row>
    <row r="26" spans="1:14" x14ac:dyDescent="0.2">
      <c r="A26" s="568"/>
      <c r="B26" s="584" t="s">
        <v>23</v>
      </c>
      <c r="C26" s="557" t="s">
        <v>31</v>
      </c>
      <c r="D26" s="559" t="s">
        <v>32</v>
      </c>
      <c r="E26" s="563" t="s">
        <v>24</v>
      </c>
      <c r="F26" s="557" t="s">
        <v>31</v>
      </c>
      <c r="G26" s="559" t="s">
        <v>32</v>
      </c>
      <c r="H26" s="563" t="s">
        <v>25</v>
      </c>
      <c r="I26" s="557" t="s">
        <v>31</v>
      </c>
      <c r="J26" s="559" t="s">
        <v>32</v>
      </c>
      <c r="K26" s="566" t="s">
        <v>19</v>
      </c>
      <c r="L26" s="557" t="s">
        <v>31</v>
      </c>
      <c r="M26" s="559" t="s">
        <v>32</v>
      </c>
      <c r="N26" s="553" t="s">
        <v>90</v>
      </c>
    </row>
    <row r="27" spans="1:14" ht="13.5" thickBot="1" x14ac:dyDescent="0.25">
      <c r="A27" s="569"/>
      <c r="B27" s="556"/>
      <c r="C27" s="558"/>
      <c r="D27" s="560"/>
      <c r="E27" s="564"/>
      <c r="F27" s="558"/>
      <c r="G27" s="560"/>
      <c r="H27" s="564"/>
      <c r="I27" s="565"/>
      <c r="J27" s="560"/>
      <c r="K27" s="556"/>
      <c r="L27" s="558"/>
      <c r="M27" s="560"/>
      <c r="N27" s="554"/>
    </row>
    <row r="28" spans="1:14" x14ac:dyDescent="0.2">
      <c r="A28" s="261" t="s">
        <v>7</v>
      </c>
      <c r="B28" s="250">
        <f>7004657.94+4280967.32</f>
        <v>11285625.260000002</v>
      </c>
      <c r="C28" s="248">
        <f>C40/12</f>
        <v>12165250</v>
      </c>
      <c r="D28" s="251">
        <f>B28-C28</f>
        <v>-879624.73999999836</v>
      </c>
      <c r="E28" s="262">
        <f>33355435.75+5104038.98</f>
        <v>38459474.730000004</v>
      </c>
      <c r="F28" s="248">
        <f>F40/12</f>
        <v>129002083.33333333</v>
      </c>
      <c r="G28" s="251">
        <f>E28-F28</f>
        <v>-90542608.603333324</v>
      </c>
      <c r="H28" s="263">
        <f>261766552.27+13265576.51</f>
        <v>275032128.78000003</v>
      </c>
      <c r="I28" s="264">
        <f>I40/12</f>
        <v>265130750</v>
      </c>
      <c r="J28" s="265">
        <f>H28-I28</f>
        <v>9901378.780000031</v>
      </c>
      <c r="K28" s="266">
        <f>SUM($B8+$E8+$H8+$K8+$B28+$E28+$H28)</f>
        <v>483306453.15000004</v>
      </c>
      <c r="L28" s="264">
        <f>L40/12</f>
        <v>544448333.33333337</v>
      </c>
      <c r="M28" s="267">
        <f>K28-L28</f>
        <v>-61141880.183333337</v>
      </c>
      <c r="N28" s="268">
        <f>M28/L40</f>
        <v>-9.3583842028679386E-3</v>
      </c>
    </row>
    <row r="29" spans="1:14" x14ac:dyDescent="0.2">
      <c r="A29" s="269" t="s">
        <v>8</v>
      </c>
      <c r="B29" s="252">
        <f>11221810.48+3275198.7+B28</f>
        <v>25782634.440000001</v>
      </c>
      <c r="C29" s="253">
        <f>C28*2</f>
        <v>24330500</v>
      </c>
      <c r="D29" s="249">
        <f>B29-C29</f>
        <v>1452134.4400000013</v>
      </c>
      <c r="E29" s="270">
        <f>6100605.31+7652883.35+E28</f>
        <v>52212963.390000001</v>
      </c>
      <c r="F29" s="253">
        <f>F28*2</f>
        <v>258004166.66666666</v>
      </c>
      <c r="G29" s="249">
        <f>E29-F29</f>
        <v>-205791203.27666664</v>
      </c>
      <c r="H29" s="271">
        <f>334500131.58+12730461.2+H28</f>
        <v>622262721.55999994</v>
      </c>
      <c r="I29" s="254">
        <f>I28*2</f>
        <v>530261500</v>
      </c>
      <c r="J29" s="249">
        <f>H29-I29</f>
        <v>92001221.559999943</v>
      </c>
      <c r="K29" s="256">
        <f t="shared" ref="K29:K40" si="9">SUM($B9+$E9+$H9+$K9+$B29+$E29+$H29)</f>
        <v>1002528056.6199999</v>
      </c>
      <c r="L29" s="254">
        <f>L28*2</f>
        <v>1088896666.6666667</v>
      </c>
      <c r="M29" s="249">
        <f>K29-L29</f>
        <v>-86368610.046666861</v>
      </c>
      <c r="N29" s="272">
        <f>M29/L40</f>
        <v>-1.3219590785576052E-2</v>
      </c>
    </row>
    <row r="30" spans="1:14" x14ac:dyDescent="0.2">
      <c r="A30" s="269" t="s">
        <v>9</v>
      </c>
      <c r="B30" s="252">
        <f>4160334.62+3591217.82+B29</f>
        <v>33534186.880000003</v>
      </c>
      <c r="C30" s="254">
        <f>C28*3</f>
        <v>36495750</v>
      </c>
      <c r="D30" s="249">
        <f t="shared" ref="D30:D39" si="10">B30-C30</f>
        <v>-2961563.1199999973</v>
      </c>
      <c r="E30" s="273">
        <f>9230068.15+263500665.01+E29</f>
        <v>324943696.54999995</v>
      </c>
      <c r="F30" s="254">
        <f>F28*3</f>
        <v>387006250</v>
      </c>
      <c r="G30" s="249">
        <f t="shared" ref="G30:G39" si="11">E30-F30</f>
        <v>-62062553.450000048</v>
      </c>
      <c r="H30" s="271">
        <f>129275983.97+22436225.46+H29</f>
        <v>773974930.99000001</v>
      </c>
      <c r="I30" s="254">
        <f>I28*3</f>
        <v>795392250</v>
      </c>
      <c r="J30" s="249">
        <f t="shared" ref="J30:J39" si="12">H30-I30</f>
        <v>-21417319.00999999</v>
      </c>
      <c r="K30" s="255">
        <f t="shared" si="9"/>
        <v>1553782846.71</v>
      </c>
      <c r="L30" s="254">
        <f>L28*3</f>
        <v>1633345000</v>
      </c>
      <c r="M30" s="249">
        <f t="shared" ref="M30:M39" si="13">K30-L30</f>
        <v>-79562153.289999962</v>
      </c>
      <c r="N30" s="272">
        <f>M30/L40</f>
        <v>-1.2177793621372087E-2</v>
      </c>
    </row>
    <row r="31" spans="1:14" x14ac:dyDescent="0.2">
      <c r="A31" s="269" t="s">
        <v>10</v>
      </c>
      <c r="B31" s="252">
        <f>4714701+4257486.26+B30</f>
        <v>42506374.140000001</v>
      </c>
      <c r="C31" s="253">
        <f>C28*4</f>
        <v>48661000</v>
      </c>
      <c r="D31" s="249">
        <f t="shared" si="10"/>
        <v>-6154625.8599999994</v>
      </c>
      <c r="E31" s="270">
        <f>66107191.36+20191663.35+E30</f>
        <v>411242551.25999999</v>
      </c>
      <c r="F31" s="253">
        <f>F28*4</f>
        <v>516008333.33333331</v>
      </c>
      <c r="G31" s="249">
        <f t="shared" si="11"/>
        <v>-104765782.07333332</v>
      </c>
      <c r="H31" s="274">
        <f>176026879.96+9793059.54+H30</f>
        <v>959794870.49000001</v>
      </c>
      <c r="I31" s="253">
        <f>I28*4</f>
        <v>1060523000</v>
      </c>
      <c r="J31" s="249">
        <f t="shared" si="12"/>
        <v>-100728129.50999999</v>
      </c>
      <c r="K31" s="255">
        <f t="shared" si="9"/>
        <v>1936074029.9099998</v>
      </c>
      <c r="L31" s="253">
        <f>L28*4</f>
        <v>2177793333.3333335</v>
      </c>
      <c r="M31" s="249">
        <f t="shared" si="13"/>
        <v>-241719303.42333364</v>
      </c>
      <c r="N31" s="272">
        <f>M31/L40</f>
        <v>-3.6997588296308136E-2</v>
      </c>
    </row>
    <row r="32" spans="1:14" x14ac:dyDescent="0.2">
      <c r="A32" s="269" t="s">
        <v>11</v>
      </c>
      <c r="B32" s="252">
        <f>5793435.12+4558000.19+B31</f>
        <v>52857809.450000003</v>
      </c>
      <c r="C32" s="253">
        <f>C28*5</f>
        <v>60826250</v>
      </c>
      <c r="D32" s="249">
        <f t="shared" si="10"/>
        <v>-7968440.549999997</v>
      </c>
      <c r="E32" s="273">
        <f>935805.04+E31</f>
        <v>412178356.30000001</v>
      </c>
      <c r="F32" s="253">
        <f>F28*5</f>
        <v>645010416.66666663</v>
      </c>
      <c r="G32" s="249">
        <f t="shared" si="11"/>
        <v>-232832060.36666662</v>
      </c>
      <c r="H32" s="274">
        <f>327906228.91+22734568.05+H31</f>
        <v>1310435667.45</v>
      </c>
      <c r="I32" s="253">
        <f>I28*5</f>
        <v>1325653750</v>
      </c>
      <c r="J32" s="249">
        <f t="shared" si="12"/>
        <v>-15218082.549999952</v>
      </c>
      <c r="K32" s="255">
        <f t="shared" si="9"/>
        <v>2423064256.8699999</v>
      </c>
      <c r="L32" s="253">
        <f>L28*5</f>
        <v>2722241666.666667</v>
      </c>
      <c r="M32" s="249">
        <f t="shared" si="13"/>
        <v>-299177409.7966671</v>
      </c>
      <c r="N32" s="272">
        <f>M32/L40</f>
        <v>-4.5792133596494783E-2</v>
      </c>
    </row>
    <row r="33" spans="1:14" x14ac:dyDescent="0.2">
      <c r="A33" s="269" t="s">
        <v>12</v>
      </c>
      <c r="B33" s="252">
        <f>7263683.28+5602984.58+B32</f>
        <v>65724477.310000002</v>
      </c>
      <c r="C33" s="253">
        <f>C28*6</f>
        <v>72991500</v>
      </c>
      <c r="D33" s="249">
        <f t="shared" si="10"/>
        <v>-7267022.6899999976</v>
      </c>
      <c r="E33" s="270">
        <f>7313323.08+278454869.13+E32</f>
        <v>697946548.50999999</v>
      </c>
      <c r="F33" s="253">
        <f>F28*6</f>
        <v>774012500</v>
      </c>
      <c r="G33" s="249">
        <f t="shared" si="11"/>
        <v>-76065951.49000001</v>
      </c>
      <c r="H33" s="274">
        <f>191744215.39+13518337.07+H32</f>
        <v>1515698219.9100001</v>
      </c>
      <c r="I33" s="253">
        <f>I28*6</f>
        <v>1590784500</v>
      </c>
      <c r="J33" s="249">
        <f t="shared" si="12"/>
        <v>-75086280.089999914</v>
      </c>
      <c r="K33" s="255">
        <f t="shared" si="9"/>
        <v>3075352681.8699999</v>
      </c>
      <c r="L33" s="253">
        <f>L28*6</f>
        <v>3266690000</v>
      </c>
      <c r="M33" s="249">
        <f t="shared" si="13"/>
        <v>-191337318.13000011</v>
      </c>
      <c r="N33" s="272">
        <f>M33/L40</f>
        <v>-2.928611501703561E-2</v>
      </c>
    </row>
    <row r="34" spans="1:14" x14ac:dyDescent="0.2">
      <c r="A34" s="269" t="s">
        <v>13</v>
      </c>
      <c r="B34" s="252">
        <f>9127660.59+5360558.05+B33</f>
        <v>80212695.950000003</v>
      </c>
      <c r="C34" s="253">
        <f>C28*7</f>
        <v>85156750</v>
      </c>
      <c r="D34" s="249">
        <f t="shared" si="10"/>
        <v>-4944054.049999997</v>
      </c>
      <c r="E34" s="273">
        <f>199272126.63+90312389.36+E33</f>
        <v>987531064.5</v>
      </c>
      <c r="F34" s="253">
        <f>F28*7</f>
        <v>903014583.33333325</v>
      </c>
      <c r="G34" s="249">
        <f t="shared" si="11"/>
        <v>84516481.166666746</v>
      </c>
      <c r="H34" s="274">
        <f>256447589.6+14575652.63+H33</f>
        <v>1786721462.1400001</v>
      </c>
      <c r="I34" s="253">
        <f>I28*7</f>
        <v>1855915250</v>
      </c>
      <c r="J34" s="249">
        <f t="shared" si="12"/>
        <v>-69193787.859999895</v>
      </c>
      <c r="K34" s="255">
        <f t="shared" si="9"/>
        <v>3801867048.6400003</v>
      </c>
      <c r="L34" s="253">
        <f>L28*7</f>
        <v>3811138333.3333335</v>
      </c>
      <c r="M34" s="249">
        <f t="shared" si="13"/>
        <v>-9271284.693333149</v>
      </c>
      <c r="N34" s="272">
        <f>M34/L40</f>
        <v>-1.4190640515832768E-3</v>
      </c>
    </row>
    <row r="35" spans="1:14" x14ac:dyDescent="0.2">
      <c r="A35" s="269" t="s">
        <v>14</v>
      </c>
      <c r="B35" s="252">
        <f>9757581.25+5116818.83+B34</f>
        <v>95087096.030000001</v>
      </c>
      <c r="C35" s="253">
        <f>C28*8</f>
        <v>97322000</v>
      </c>
      <c r="D35" s="249">
        <f t="shared" si="10"/>
        <v>-2234903.9699999988</v>
      </c>
      <c r="E35" s="270">
        <f t="shared" ref="E35:E40" si="14">E34</f>
        <v>987531064.5</v>
      </c>
      <c r="F35" s="253">
        <f>F28*8</f>
        <v>1032016666.6666666</v>
      </c>
      <c r="G35" s="249">
        <f t="shared" si="11"/>
        <v>-44485602.166666627</v>
      </c>
      <c r="H35" s="274">
        <f>322566134.35+17993679.19+H34</f>
        <v>2127281275.6800001</v>
      </c>
      <c r="I35" s="253">
        <f>I28*8</f>
        <v>2121046000</v>
      </c>
      <c r="J35" s="249">
        <f t="shared" si="12"/>
        <v>6235275.6800000668</v>
      </c>
      <c r="K35" s="255">
        <f t="shared" si="9"/>
        <v>4304185797.7799997</v>
      </c>
      <c r="L35" s="253">
        <f>L28*8</f>
        <v>4355586666.666667</v>
      </c>
      <c r="M35" s="249">
        <f t="shared" si="13"/>
        <v>-51400868.886667252</v>
      </c>
      <c r="N35" s="272">
        <f>M35/L40</f>
        <v>-7.867423735748915E-3</v>
      </c>
    </row>
    <row r="36" spans="1:14" x14ac:dyDescent="0.2">
      <c r="A36" s="269" t="s">
        <v>15</v>
      </c>
      <c r="B36" s="252">
        <f>11083771.46+4773542.66+B35</f>
        <v>110944410.15000001</v>
      </c>
      <c r="C36" s="253">
        <f>C28*9</f>
        <v>109487250</v>
      </c>
      <c r="D36" s="249">
        <f t="shared" si="10"/>
        <v>1457160.150000006</v>
      </c>
      <c r="E36" s="273">
        <f>204785616.62+E35</f>
        <v>1192316681.1199999</v>
      </c>
      <c r="F36" s="253">
        <f>F28*9</f>
        <v>1161018750</v>
      </c>
      <c r="G36" s="249">
        <f t="shared" si="11"/>
        <v>31297931.119999886</v>
      </c>
      <c r="H36" s="274">
        <f>163038523.61+H35</f>
        <v>2290319799.29</v>
      </c>
      <c r="I36" s="253">
        <f>I28*9</f>
        <v>2386176750</v>
      </c>
      <c r="J36" s="249">
        <f t="shared" si="12"/>
        <v>-95856950.710000038</v>
      </c>
      <c r="K36" s="255">
        <f t="shared" si="9"/>
        <v>4830508997.1599998</v>
      </c>
      <c r="L36" s="253">
        <f>L28*9</f>
        <v>4900035000</v>
      </c>
      <c r="M36" s="249">
        <f t="shared" si="13"/>
        <v>-69526002.840000153</v>
      </c>
      <c r="N36" s="272">
        <f>M36/L40</f>
        <v>-1.0641659116720619E-2</v>
      </c>
    </row>
    <row r="37" spans="1:14" x14ac:dyDescent="0.2">
      <c r="A37" s="269" t="s">
        <v>16</v>
      </c>
      <c r="B37" s="252">
        <f>7883727.56+5273887.46+B36</f>
        <v>124102025.17</v>
      </c>
      <c r="C37" s="253">
        <f>C28*10</f>
        <v>121652500</v>
      </c>
      <c r="D37" s="249">
        <f t="shared" si="10"/>
        <v>2449525.1700000018</v>
      </c>
      <c r="E37" s="270">
        <f>39098160.24+39539865.61+E36</f>
        <v>1270954706.9699998</v>
      </c>
      <c r="F37" s="253">
        <f>F28*10</f>
        <v>1290020833.3333333</v>
      </c>
      <c r="G37" s="249">
        <f t="shared" si="11"/>
        <v>-19066126.363333464</v>
      </c>
      <c r="H37" s="274">
        <f>246333627.85+19021183.96+H36</f>
        <v>2555674611.0999999</v>
      </c>
      <c r="I37" s="253">
        <f>I28*10</f>
        <v>2651307500</v>
      </c>
      <c r="J37" s="249">
        <f t="shared" si="12"/>
        <v>-95632888.900000095</v>
      </c>
      <c r="K37" s="255">
        <f t="shared" si="9"/>
        <v>5321058017.9799995</v>
      </c>
      <c r="L37" s="253">
        <f>L28*10</f>
        <v>5444483333.333334</v>
      </c>
      <c r="M37" s="249">
        <f t="shared" si="13"/>
        <v>-123425315.35333443</v>
      </c>
      <c r="N37" s="272">
        <f>M37/L40</f>
        <v>-1.8891494961770849E-2</v>
      </c>
    </row>
    <row r="38" spans="1:14" x14ac:dyDescent="0.2">
      <c r="A38" s="269" t="s">
        <v>17</v>
      </c>
      <c r="B38" s="252">
        <f>7270108.23+4931611.98+B37</f>
        <v>136303745.38</v>
      </c>
      <c r="C38" s="253">
        <f>C28*11</f>
        <v>133817750</v>
      </c>
      <c r="D38" s="249">
        <f t="shared" si="10"/>
        <v>2485995.3799999952</v>
      </c>
      <c r="E38" s="270">
        <f>12297531.27+3926894.73+E37</f>
        <v>1287179132.9699998</v>
      </c>
      <c r="F38" s="253">
        <f>F28*11</f>
        <v>1419022916.6666665</v>
      </c>
      <c r="G38" s="249">
        <f t="shared" si="11"/>
        <v>-131843783.69666672</v>
      </c>
      <c r="H38" s="274">
        <f>327901389.77+15028994.89+H37</f>
        <v>2898604995.7599998</v>
      </c>
      <c r="I38" s="253">
        <f>I28*11</f>
        <v>2916438250</v>
      </c>
      <c r="J38" s="249">
        <f t="shared" si="12"/>
        <v>-17833254.240000248</v>
      </c>
      <c r="K38" s="255">
        <f t="shared" si="9"/>
        <v>5849476718.0999994</v>
      </c>
      <c r="L38" s="253">
        <f>L28*11</f>
        <v>5988931666.666667</v>
      </c>
      <c r="M38" s="249">
        <f t="shared" si="13"/>
        <v>-139454948.56666756</v>
      </c>
      <c r="N38" s="272">
        <f>M38/L40</f>
        <v>-2.1344992724541899E-2</v>
      </c>
    </row>
    <row r="39" spans="1:14" ht="13.5" thickBot="1" x14ac:dyDescent="0.25">
      <c r="A39" s="340" t="s">
        <v>18</v>
      </c>
      <c r="B39" s="334">
        <f>5015387.3+5831332+B38</f>
        <v>147150464.68000001</v>
      </c>
      <c r="C39" s="332">
        <f>C28*12</f>
        <v>145983000</v>
      </c>
      <c r="D39" s="249">
        <f t="shared" si="10"/>
        <v>1167464.6800000072</v>
      </c>
      <c r="E39" s="335">
        <f>279558303.85+E38</f>
        <v>1566737436.8199997</v>
      </c>
      <c r="F39" s="332">
        <f>F28*12</f>
        <v>1548025000</v>
      </c>
      <c r="G39" s="336">
        <f t="shared" si="11"/>
        <v>18712436.819999695</v>
      </c>
      <c r="H39" s="337">
        <f>251114810.26+27684278.8+H38</f>
        <v>3177404084.8199997</v>
      </c>
      <c r="I39" s="332">
        <f>I28*12</f>
        <v>3181569000</v>
      </c>
      <c r="J39" s="249">
        <f t="shared" si="12"/>
        <v>-4164915.1800003052</v>
      </c>
      <c r="K39" s="275">
        <f t="shared" si="9"/>
        <v>6603908970.8599997</v>
      </c>
      <c r="L39" s="338">
        <f>L28*12</f>
        <v>6533380000</v>
      </c>
      <c r="M39" s="249">
        <f t="shared" si="13"/>
        <v>70528970.859999657</v>
      </c>
      <c r="N39" s="272">
        <f>M39/L40</f>
        <v>1.07951735334543E-2</v>
      </c>
    </row>
    <row r="40" spans="1:14" ht="13.5" thickBot="1" x14ac:dyDescent="0.25">
      <c r="A40" s="257" t="s">
        <v>19</v>
      </c>
      <c r="B40" s="345">
        <f t="shared" ref="B40" si="15">B39</f>
        <v>147150464.68000001</v>
      </c>
      <c r="C40" s="258">
        <f>152689000-6706000</f>
        <v>145983000</v>
      </c>
      <c r="D40" s="260"/>
      <c r="E40" s="347">
        <f t="shared" si="14"/>
        <v>1566737436.8199997</v>
      </c>
      <c r="F40" s="276">
        <f>1519014000+29011000</f>
        <v>1548025000</v>
      </c>
      <c r="G40" s="277"/>
      <c r="H40" s="345">
        <f t="shared" ref="H40" si="16">H39</f>
        <v>3177404084.8199997</v>
      </c>
      <c r="I40" s="258">
        <f>2896575000+284994000</f>
        <v>3181569000</v>
      </c>
      <c r="J40" s="278"/>
      <c r="K40" s="346">
        <f t="shared" si="9"/>
        <v>6603908970.8599997</v>
      </c>
      <c r="L40" s="279">
        <f>SUM(F20+I20+L20+O20+F40+I40+C20+C40)</f>
        <v>6533380000</v>
      </c>
      <c r="M40" s="280"/>
      <c r="N40" s="281"/>
    </row>
    <row r="41" spans="1:14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4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4" x14ac:dyDescent="0.2">
      <c r="K43" s="114"/>
      <c r="L43" s="115"/>
    </row>
    <row r="44" spans="1:14" x14ac:dyDescent="0.2">
      <c r="K44" s="114"/>
    </row>
    <row r="45" spans="1:14" x14ac:dyDescent="0.2">
      <c r="K45" s="114"/>
    </row>
    <row r="46" spans="1:14" x14ac:dyDescent="0.2">
      <c r="K46" s="114"/>
    </row>
    <row r="48" spans="1:14" x14ac:dyDescent="0.2">
      <c r="K48" s="116"/>
    </row>
  </sheetData>
  <mergeCells count="38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B24:D25"/>
    <mergeCell ref="E24:G25"/>
    <mergeCell ref="H24:J25"/>
    <mergeCell ref="K24:M25"/>
    <mergeCell ref="B26:B27"/>
    <mergeCell ref="C26:C27"/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8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5" tint="-0.499984740745262"/>
  </sheetPr>
  <dimension ref="A1:S71"/>
  <sheetViews>
    <sheetView showGridLines="0" zoomScaleNormal="100" workbookViewId="0">
      <selection activeCell="X41" sqref="X4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82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20.25" x14ac:dyDescent="0.3">
      <c r="B2" s="587" t="s">
        <v>91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92"/>
      <c r="P2" s="592"/>
      <c r="Q2" s="592"/>
      <c r="R2" s="592"/>
      <c r="S2" s="592"/>
    </row>
    <row r="3" spans="1:19" ht="12.75" customHeight="1" x14ac:dyDescent="0.25">
      <c r="A3" s="59"/>
    </row>
    <row r="4" spans="1:19" ht="12.75" customHeight="1" x14ac:dyDescent="0.2"/>
    <row r="8" spans="1:19" x14ac:dyDescent="0.2">
      <c r="B8" s="1">
        <v>0</v>
      </c>
      <c r="E8" s="1">
        <v>0</v>
      </c>
      <c r="H8" s="1">
        <f>0</f>
        <v>0</v>
      </c>
      <c r="K8" s="1">
        <v>0</v>
      </c>
    </row>
    <row r="9" spans="1:19" x14ac:dyDescent="0.2">
      <c r="B9" s="1">
        <f t="shared" ref="B9:B19" si="0">B8</f>
        <v>0</v>
      </c>
      <c r="E9" s="1">
        <f t="shared" ref="E9:E19" si="1">E8</f>
        <v>0</v>
      </c>
      <c r="H9" s="1">
        <f t="shared" ref="H9:H19" si="2">H8</f>
        <v>0</v>
      </c>
      <c r="K9" s="1">
        <f>K8</f>
        <v>0</v>
      </c>
    </row>
    <row r="10" spans="1:19" x14ac:dyDescent="0.2">
      <c r="B10" s="1">
        <f t="shared" si="0"/>
        <v>0</v>
      </c>
      <c r="E10" s="1">
        <f t="shared" si="1"/>
        <v>0</v>
      </c>
      <c r="H10" s="1">
        <f t="shared" si="2"/>
        <v>0</v>
      </c>
      <c r="K10" s="1">
        <f>K9</f>
        <v>0</v>
      </c>
    </row>
    <row r="11" spans="1:19" x14ac:dyDescent="0.2">
      <c r="B11" s="1">
        <f t="shared" si="0"/>
        <v>0</v>
      </c>
      <c r="E11" s="1">
        <f t="shared" si="1"/>
        <v>0</v>
      </c>
      <c r="H11" s="1">
        <f t="shared" si="2"/>
        <v>0</v>
      </c>
    </row>
    <row r="12" spans="1:19" x14ac:dyDescent="0.2">
      <c r="B12" s="1">
        <f t="shared" si="0"/>
        <v>0</v>
      </c>
      <c r="E12" s="1">
        <f t="shared" si="1"/>
        <v>0</v>
      </c>
      <c r="H12" s="1">
        <f t="shared" si="2"/>
        <v>0</v>
      </c>
    </row>
    <row r="13" spans="1:19" x14ac:dyDescent="0.2">
      <c r="B13" s="1">
        <f t="shared" si="0"/>
        <v>0</v>
      </c>
      <c r="E13" s="1">
        <f t="shared" si="1"/>
        <v>0</v>
      </c>
      <c r="H13" s="1">
        <f t="shared" si="2"/>
        <v>0</v>
      </c>
    </row>
    <row r="14" spans="1:19" x14ac:dyDescent="0.2">
      <c r="B14" s="1">
        <f t="shared" si="0"/>
        <v>0</v>
      </c>
      <c r="E14" s="1">
        <f t="shared" si="1"/>
        <v>0</v>
      </c>
      <c r="H14" s="1">
        <f t="shared" si="2"/>
        <v>0</v>
      </c>
      <c r="K14" s="1">
        <f>K13</f>
        <v>0</v>
      </c>
    </row>
    <row r="15" spans="1:19" x14ac:dyDescent="0.2">
      <c r="B15" s="1">
        <f t="shared" si="0"/>
        <v>0</v>
      </c>
      <c r="E15" s="1">
        <f t="shared" si="1"/>
        <v>0</v>
      </c>
      <c r="H15" s="1">
        <f t="shared" si="2"/>
        <v>0</v>
      </c>
    </row>
    <row r="16" spans="1:19" x14ac:dyDescent="0.2">
      <c r="B16" s="1">
        <f t="shared" si="0"/>
        <v>0</v>
      </c>
      <c r="E16" s="1">
        <f t="shared" si="1"/>
        <v>0</v>
      </c>
      <c r="H16" s="1">
        <f t="shared" si="2"/>
        <v>0</v>
      </c>
      <c r="K16" s="1">
        <f>K15</f>
        <v>0</v>
      </c>
    </row>
    <row r="17" spans="2:12" x14ac:dyDescent="0.2">
      <c r="B17" s="1">
        <f t="shared" si="0"/>
        <v>0</v>
      </c>
      <c r="E17" s="1">
        <f t="shared" si="1"/>
        <v>0</v>
      </c>
      <c r="H17" s="1">
        <f t="shared" si="2"/>
        <v>0</v>
      </c>
      <c r="K17" s="1">
        <f>K16</f>
        <v>0</v>
      </c>
    </row>
    <row r="18" spans="2:12" x14ac:dyDescent="0.2">
      <c r="B18" s="1">
        <f t="shared" si="0"/>
        <v>0</v>
      </c>
      <c r="E18" s="1">
        <f t="shared" si="1"/>
        <v>0</v>
      </c>
      <c r="H18" s="1">
        <f t="shared" si="2"/>
        <v>0</v>
      </c>
      <c r="K18" s="1">
        <f>K17</f>
        <v>0</v>
      </c>
    </row>
    <row r="19" spans="2:12" x14ac:dyDescent="0.2">
      <c r="B19" s="1">
        <f t="shared" si="0"/>
        <v>0</v>
      </c>
      <c r="E19" s="1">
        <f t="shared" si="1"/>
        <v>0</v>
      </c>
      <c r="H19" s="1">
        <f t="shared" si="2"/>
        <v>0</v>
      </c>
      <c r="K19" s="1">
        <f>K18</f>
        <v>0</v>
      </c>
    </row>
    <row r="20" spans="2:12" x14ac:dyDescent="0.2">
      <c r="C20" s="1">
        <v>1400297000</v>
      </c>
      <c r="F20" s="1">
        <v>94726000</v>
      </c>
      <c r="I20" s="1">
        <v>0</v>
      </c>
      <c r="L20" s="1">
        <v>36322000</v>
      </c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83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  <row r="49" spans="2:19" ht="20.25" x14ac:dyDescent="0.3">
      <c r="B49" s="587" t="s">
        <v>91</v>
      </c>
      <c r="C49" s="586"/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92"/>
      <c r="P49" s="592"/>
      <c r="Q49" s="592"/>
      <c r="R49" s="592"/>
      <c r="S49" s="592"/>
    </row>
    <row r="50" spans="2:19" ht="12.75" customHeight="1" x14ac:dyDescent="0.2"/>
    <row r="71" spans="11:19" x14ac:dyDescent="0.2">
      <c r="K71" s="632" t="s">
        <v>84</v>
      </c>
      <c r="L71" s="633"/>
      <c r="M71" s="633"/>
      <c r="N71" s="633"/>
      <c r="O71" s="633"/>
      <c r="P71" s="633"/>
      <c r="Q71" s="633"/>
      <c r="R71" s="633"/>
      <c r="S71" s="633"/>
    </row>
  </sheetData>
  <mergeCells count="5">
    <mergeCell ref="B1:S1"/>
    <mergeCell ref="B2:S2"/>
    <mergeCell ref="B48:S48"/>
    <mergeCell ref="B49:S49"/>
    <mergeCell ref="K71:S71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1" tint="4.9989318521683403E-2"/>
    <pageSetUpPr fitToPage="1"/>
  </sheetPr>
  <dimension ref="A1:N48"/>
  <sheetViews>
    <sheetView showGridLines="0" zoomScale="120" zoomScaleNormal="120" workbookViewId="0">
      <selection activeCell="H28" sqref="H28:H39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637" t="s">
        <v>96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20.25" x14ac:dyDescent="0.3">
      <c r="A2" s="638" t="s">
        <v>109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67" t="s">
        <v>2</v>
      </c>
      <c r="B4" s="588" t="s">
        <v>95</v>
      </c>
      <c r="C4" s="640"/>
      <c r="D4" s="641"/>
      <c r="E4" s="647" t="s">
        <v>94</v>
      </c>
      <c r="F4" s="640"/>
      <c r="G4" s="641"/>
      <c r="H4" s="591" t="s">
        <v>93</v>
      </c>
      <c r="I4" s="640"/>
      <c r="J4" s="641"/>
      <c r="K4" s="570" t="s">
        <v>92</v>
      </c>
      <c r="L4" s="640"/>
      <c r="M4" s="641"/>
      <c r="N4" s="73"/>
    </row>
    <row r="5" spans="1:14" ht="13.5" customHeight="1" thickBot="1" x14ac:dyDescent="0.25">
      <c r="A5" s="645"/>
      <c r="B5" s="642"/>
      <c r="C5" s="643"/>
      <c r="D5" s="644"/>
      <c r="E5" s="642"/>
      <c r="F5" s="643"/>
      <c r="G5" s="644"/>
      <c r="H5" s="642"/>
      <c r="I5" s="643"/>
      <c r="J5" s="644"/>
      <c r="K5" s="642"/>
      <c r="L5" s="643"/>
      <c r="M5" s="644"/>
      <c r="N5" s="71"/>
    </row>
    <row r="6" spans="1:14" ht="12.75" customHeight="1" x14ac:dyDescent="0.2">
      <c r="A6" s="645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84" t="s">
        <v>6</v>
      </c>
      <c r="I6" s="557" t="s">
        <v>31</v>
      </c>
      <c r="J6" s="559" t="s">
        <v>32</v>
      </c>
      <c r="K6" s="584" t="s">
        <v>23</v>
      </c>
      <c r="L6" s="557" t="s">
        <v>31</v>
      </c>
      <c r="M6" s="559" t="s">
        <v>32</v>
      </c>
    </row>
    <row r="7" spans="1:14" ht="13.5" thickBot="1" x14ac:dyDescent="0.25">
      <c r="A7" s="646"/>
      <c r="B7" s="636"/>
      <c r="C7" s="635"/>
      <c r="D7" s="634"/>
      <c r="E7" s="636"/>
      <c r="F7" s="635"/>
      <c r="G7" s="634"/>
      <c r="H7" s="636"/>
      <c r="I7" s="635"/>
      <c r="J7" s="634"/>
      <c r="K7" s="636"/>
      <c r="L7" s="635"/>
      <c r="M7" s="634"/>
    </row>
    <row r="8" spans="1:14" ht="14.1" customHeight="1" x14ac:dyDescent="0.2">
      <c r="A8" s="380" t="s">
        <v>7</v>
      </c>
      <c r="B8" s="377">
        <f>59897999.77+91183324.28</f>
        <v>151081324.05000001</v>
      </c>
      <c r="C8" s="367">
        <f>C20/12</f>
        <v>137465583.33333334</v>
      </c>
      <c r="D8" s="353">
        <f>B8-C8</f>
        <v>13615740.716666669</v>
      </c>
      <c r="E8" s="379">
        <f>4080534.09+6268819.79</f>
        <v>10349353.879999999</v>
      </c>
      <c r="F8" s="367">
        <f>F20/12</f>
        <v>9359083.333333334</v>
      </c>
      <c r="G8" s="353">
        <f>E8-F8</f>
        <v>990270.546666665</v>
      </c>
      <c r="H8" s="379">
        <f>2940858.81+746558.19</f>
        <v>3687417</v>
      </c>
      <c r="I8" s="367">
        <f>I20/12</f>
        <v>4888166.666666667</v>
      </c>
      <c r="J8" s="366">
        <f>H8-I8</f>
        <v>-1200749.666666667</v>
      </c>
      <c r="K8" s="379">
        <f>6571472.14+3824139.54</f>
        <v>10395611.68</v>
      </c>
      <c r="L8" s="367">
        <f>L20/12</f>
        <v>12347750</v>
      </c>
      <c r="M8" s="366">
        <f>K8-L8</f>
        <v>-1952138.3200000003</v>
      </c>
    </row>
    <row r="9" spans="1:14" ht="14.1" customHeight="1" x14ac:dyDescent="0.2">
      <c r="A9" s="246" t="s">
        <v>8</v>
      </c>
      <c r="B9" s="252">
        <f>62361904.85+85571373.22</f>
        <v>147933278.06999999</v>
      </c>
      <c r="C9" s="253">
        <f>C8*2</f>
        <v>274931166.66666669</v>
      </c>
      <c r="D9" s="249">
        <f>SUM(B8+B9)-C9</f>
        <v>24083435.453333318</v>
      </c>
      <c r="E9" s="247">
        <f>4287357.94+5883000.34</f>
        <v>10170358.280000001</v>
      </c>
      <c r="F9" s="253">
        <f>F8*2</f>
        <v>18718166.666666668</v>
      </c>
      <c r="G9" s="249">
        <f>SUM(E8+E9)-F9</f>
        <v>1801545.4933333322</v>
      </c>
      <c r="H9" s="247">
        <f>899456.23+975992.25</f>
        <v>1875448.48</v>
      </c>
      <c r="I9" s="253">
        <f>I8*2</f>
        <v>9776333.333333334</v>
      </c>
      <c r="J9" s="249">
        <f>SUM(H8+H9)-I9</f>
        <v>-4213467.8533333335</v>
      </c>
      <c r="K9" s="252">
        <f>11426447.77+3855016.93</f>
        <v>15281464.699999999</v>
      </c>
      <c r="L9" s="253">
        <f>L8*2</f>
        <v>24695500</v>
      </c>
      <c r="M9" s="249">
        <f>SUM(K8+K9)-L9</f>
        <v>981576.37999999896</v>
      </c>
    </row>
    <row r="10" spans="1:14" ht="14.1" customHeight="1" x14ac:dyDescent="0.2">
      <c r="A10" s="246" t="s">
        <v>9</v>
      </c>
      <c r="B10" s="252">
        <f>52315197.94+70089754.75</f>
        <v>122404952.69</v>
      </c>
      <c r="C10" s="253">
        <f>C8*3</f>
        <v>412396750</v>
      </c>
      <c r="D10" s="249">
        <f>SUM(B8+B9+B10)-C10</f>
        <v>9022804.8100000024</v>
      </c>
      <c r="E10" s="247">
        <f>3596650.57+4818644.77</f>
        <v>8415295.3399999999</v>
      </c>
      <c r="F10" s="254">
        <f>F8*3</f>
        <v>28077250</v>
      </c>
      <c r="G10" s="249">
        <f>SUM(E8+E9+E10)-F10</f>
        <v>857757.5</v>
      </c>
      <c r="H10" s="247">
        <f>1786297.21+3618226.06</f>
        <v>5404523.2699999996</v>
      </c>
      <c r="I10" s="254">
        <f>I8*3</f>
        <v>14664500</v>
      </c>
      <c r="J10" s="249">
        <f>SUM(H8+H9+H10)-I10</f>
        <v>-3697111.25</v>
      </c>
      <c r="K10" s="252">
        <f>4176949.37+4381057.07</f>
        <v>8558006.4400000013</v>
      </c>
      <c r="L10" s="254">
        <f>L8*3</f>
        <v>37043250</v>
      </c>
      <c r="M10" s="249">
        <f>SUM(K8+K9+K10)-L10</f>
        <v>-2808167.1799999997</v>
      </c>
    </row>
    <row r="11" spans="1:14" ht="14.1" customHeight="1" x14ac:dyDescent="0.2">
      <c r="A11" s="246" t="s">
        <v>10</v>
      </c>
      <c r="B11" s="252">
        <f>41709687.44+61478419.11</f>
        <v>103188106.55</v>
      </c>
      <c r="C11" s="253">
        <f>C8*4</f>
        <v>549862333.33333337</v>
      </c>
      <c r="D11" s="249">
        <f>SUM(B8+B9+B10+B11)-C11</f>
        <v>-25254671.973333359</v>
      </c>
      <c r="E11" s="247">
        <f>2867525.61+4226618.65</f>
        <v>7094144.2599999998</v>
      </c>
      <c r="F11" s="253">
        <f>F8*4</f>
        <v>37436333.333333336</v>
      </c>
      <c r="G11" s="249">
        <f>SUM(E8+E9+E10+E11)-F11</f>
        <v>-1407181.5733333379</v>
      </c>
      <c r="H11" s="247">
        <v>0</v>
      </c>
      <c r="I11" s="253">
        <f>I8*4</f>
        <v>19552666.666666668</v>
      </c>
      <c r="J11" s="249">
        <f>SUM(H8+H9+H10+H11)-I11</f>
        <v>-8585277.9166666679</v>
      </c>
      <c r="K11" s="252">
        <f>4982236.64+5209882.63</f>
        <v>10192119.27</v>
      </c>
      <c r="L11" s="253">
        <f>L8*4</f>
        <v>49391000</v>
      </c>
      <c r="M11" s="249">
        <f>SUM(K8+K9+K10+K11)-L11</f>
        <v>-4963797.9099999964</v>
      </c>
    </row>
    <row r="12" spans="1:14" ht="14.1" customHeight="1" x14ac:dyDescent="0.2">
      <c r="A12" s="246" t="s">
        <v>11</v>
      </c>
      <c r="B12" s="252">
        <f>46051392.24+90521115.22</f>
        <v>136572507.46000001</v>
      </c>
      <c r="C12" s="253">
        <f>C8*5</f>
        <v>687327916.66666675</v>
      </c>
      <c r="D12" s="249">
        <f>SUM(B8+B9+B10+B11+B12)-C12</f>
        <v>-26147747.846666694</v>
      </c>
      <c r="E12" s="247">
        <f>3166016.22+6223293.25</f>
        <v>9389309.4700000007</v>
      </c>
      <c r="F12" s="253">
        <f>F8*5</f>
        <v>46795416.666666672</v>
      </c>
      <c r="G12" s="249">
        <f>SUM(E8+E9+E10+E11+E12)-F12</f>
        <v>-1376955.4366666749</v>
      </c>
      <c r="H12" s="247">
        <v>0</v>
      </c>
      <c r="I12" s="253">
        <f>I8*5</f>
        <v>24440833.333333336</v>
      </c>
      <c r="J12" s="249">
        <f>SUM(H8+H9+H10+H11+H12)-I12</f>
        <v>-13473444.583333336</v>
      </c>
      <c r="K12" s="252">
        <f>7251232.83+4820527.29</f>
        <v>12071760.120000001</v>
      </c>
      <c r="L12" s="253">
        <f>L8*5</f>
        <v>61738750</v>
      </c>
      <c r="M12" s="249">
        <f>SUM(K8+K9+K10+K11+K12)-L12</f>
        <v>-5239787.7899999917</v>
      </c>
    </row>
    <row r="13" spans="1:14" ht="14.1" customHeight="1" x14ac:dyDescent="0.2">
      <c r="A13" s="246" t="s">
        <v>12</v>
      </c>
      <c r="B13" s="252">
        <f>61046843.05+96699032.88</f>
        <v>157745875.93000001</v>
      </c>
      <c r="C13" s="253">
        <f>C8*6</f>
        <v>824793500</v>
      </c>
      <c r="D13" s="249">
        <f>SUM(B8+B9+B10+B11+B12+B13)-C13</f>
        <v>-5867455.25</v>
      </c>
      <c r="E13" s="247">
        <f>4196947.95+6648022.81</f>
        <v>10844970.76</v>
      </c>
      <c r="F13" s="253">
        <f>F8*6</f>
        <v>56154500</v>
      </c>
      <c r="G13" s="249">
        <f>SUM(E8+E9+E10+E11+E12+E13)-F13</f>
        <v>108931.98999999464</v>
      </c>
      <c r="H13" s="247">
        <v>0</v>
      </c>
      <c r="I13" s="253">
        <f>I8*6</f>
        <v>29329000</v>
      </c>
      <c r="J13" s="249">
        <f>SUM(H8+H9+H10+H11+H12+H13)-I13</f>
        <v>-18361611.25</v>
      </c>
      <c r="K13" s="252">
        <f>8093637.35+6038757.35</f>
        <v>14132394.699999999</v>
      </c>
      <c r="L13" s="253">
        <f>L8*6</f>
        <v>74086500</v>
      </c>
      <c r="M13" s="249">
        <f>SUM(K8+K9+K10+K11+K12+K13)-L13</f>
        <v>-3455143.0899999887</v>
      </c>
    </row>
    <row r="14" spans="1:14" ht="14.1" customHeight="1" x14ac:dyDescent="0.2">
      <c r="A14" s="246" t="s">
        <v>13</v>
      </c>
      <c r="B14" s="252">
        <f>59073902.64+87191932.29</f>
        <v>146265834.93000001</v>
      </c>
      <c r="C14" s="253">
        <f>C8*7</f>
        <v>962259083.33333337</v>
      </c>
      <c r="D14" s="249">
        <f>SUM(B8+B9+B10+B11+B12+B13+B14)-C14</f>
        <v>2932796.3466666937</v>
      </c>
      <c r="E14" s="247">
        <f>4061309.01+5994413.17</f>
        <v>10055722.18</v>
      </c>
      <c r="F14" s="253">
        <f>F8*7</f>
        <v>65513583.333333336</v>
      </c>
      <c r="G14" s="249">
        <f>SUM(E8+E9+E10+E11+E12+E13+E14)-F14</f>
        <v>805570.83666665852</v>
      </c>
      <c r="H14" s="247">
        <f>3331865.59</f>
        <v>3331865.59</v>
      </c>
      <c r="I14" s="253">
        <f>I8*7</f>
        <v>34217166.666666672</v>
      </c>
      <c r="J14" s="249">
        <f>SUM(H8+H9+H10+H11+H12+H13+H14)-I14</f>
        <v>-19917912.326666672</v>
      </c>
      <c r="K14" s="252">
        <f>10084768.27+7396461.86</f>
        <v>17481230.129999999</v>
      </c>
      <c r="L14" s="253">
        <f>L8*7</f>
        <v>86434250</v>
      </c>
      <c r="M14" s="249">
        <f>SUM(K8+K9+K10+K11+K12+K13+K14)-L14</f>
        <v>1678337.0400000066</v>
      </c>
    </row>
    <row r="15" spans="1:14" ht="14.1" customHeight="1" x14ac:dyDescent="0.2">
      <c r="A15" s="378" t="s">
        <v>14</v>
      </c>
      <c r="B15" s="376">
        <f>66157120.34+94864698.56</f>
        <v>161021818.90000001</v>
      </c>
      <c r="C15" s="354">
        <f>C8*8</f>
        <v>1099724666.6666667</v>
      </c>
      <c r="D15" s="353">
        <f>SUM(B8+B9+B10+B11+B12+B13+B14+B15)-C15</f>
        <v>26489031.913333416</v>
      </c>
      <c r="E15" s="377">
        <f>4548277.62+6521913.01</f>
        <v>11070190.629999999</v>
      </c>
      <c r="F15" s="354">
        <f>F8*8</f>
        <v>74872666.666666672</v>
      </c>
      <c r="G15" s="353">
        <f>SUM(E8+E9+E10+E11+E12+E13+E14+E15)-F15</f>
        <v>2516678.1333333254</v>
      </c>
      <c r="H15" s="377">
        <v>0</v>
      </c>
      <c r="I15" s="354">
        <f>I8*8</f>
        <v>39105333.333333336</v>
      </c>
      <c r="J15" s="353">
        <f>SUM(H8+H9+H10+H11+H12+H13+H14+H15)-I15</f>
        <v>-24806078.993333336</v>
      </c>
      <c r="K15" s="376">
        <f>11758931.64+6249023.06</f>
        <v>18007954.699999999</v>
      </c>
      <c r="L15" s="354">
        <f>L8*8</f>
        <v>98782000</v>
      </c>
      <c r="M15" s="353">
        <f>SUM(K8+K9+K10+K11+K12+K13+K14+K15)-L15</f>
        <v>7338541.7400000095</v>
      </c>
    </row>
    <row r="16" spans="1:14" ht="14.1" customHeight="1" x14ac:dyDescent="0.2">
      <c r="A16" s="246" t="s">
        <v>15</v>
      </c>
      <c r="B16" s="252">
        <f>58431882.05+77061449.53</f>
        <v>135493331.57999998</v>
      </c>
      <c r="C16" s="253">
        <f>C8*9</f>
        <v>1237190250</v>
      </c>
      <c r="D16" s="249">
        <f>SUM(B8+B9+B10+B11+B12+B13+B14+B15+B16)-C16</f>
        <v>24516780.160000086</v>
      </c>
      <c r="E16" s="247">
        <f>4017170.35+4820225.1</f>
        <v>8837395.4499999993</v>
      </c>
      <c r="F16" s="253">
        <f>F8*9</f>
        <v>84231750</v>
      </c>
      <c r="G16" s="249">
        <f>SUM(E8+E9+E10+E11+E12+E13+E14+E15+E16)-F16</f>
        <v>1994990.25</v>
      </c>
      <c r="H16" s="247">
        <f>6434703.59</f>
        <v>6434703.5899999999</v>
      </c>
      <c r="I16" s="253">
        <f>I8*9</f>
        <v>43993500</v>
      </c>
      <c r="J16" s="249">
        <f>SUM(H8+H9+H10+H11+H12+H13+H14+H15+H16)-I16</f>
        <v>-23259542.07</v>
      </c>
      <c r="K16" s="252">
        <f>11307903.32+4561537.06</f>
        <v>15869440.379999999</v>
      </c>
      <c r="L16" s="253">
        <f>L8*9</f>
        <v>111129750</v>
      </c>
      <c r="M16" s="249">
        <f>SUM(K8+K9+K10+K11+K12+K13+K14+K15+K16)-L16</f>
        <v>10860232.120000005</v>
      </c>
    </row>
    <row r="17" spans="1:13" ht="14.1" customHeight="1" x14ac:dyDescent="0.2">
      <c r="A17" s="378" t="s">
        <v>16</v>
      </c>
      <c r="B17" s="376">
        <f>58312585.53+88678542.82</f>
        <v>146991128.34999999</v>
      </c>
      <c r="C17" s="354">
        <f>C8*10</f>
        <v>1374655833.3333335</v>
      </c>
      <c r="D17" s="353">
        <f>SUM(B8+B9+B10+B11+B12+B13+B14+B15+B16+B17)-C17</f>
        <v>34042325.176666498</v>
      </c>
      <c r="E17" s="377">
        <f>3985789.38+6061367.21</f>
        <v>10047156.59</v>
      </c>
      <c r="F17" s="354">
        <f>F8*10</f>
        <v>93590833.333333343</v>
      </c>
      <c r="G17" s="353">
        <f>SUM(E8+E9+E10+E11+E12+E13+E14+E15+E16+E17)-F17</f>
        <v>2683063.5066666603</v>
      </c>
      <c r="H17" s="377">
        <f>2974916.77+1043741.88</f>
        <v>4018658.65</v>
      </c>
      <c r="I17" s="354">
        <f>I8*10</f>
        <v>48881666.666666672</v>
      </c>
      <c r="J17" s="353">
        <f>SUM(H8+H9+H10+H11+H12+H13+H14+H15+H16+H17)-I17</f>
        <v>-24129050.086666673</v>
      </c>
      <c r="K17" s="376">
        <f>8862720.66+7080048.26</f>
        <v>15942768.92</v>
      </c>
      <c r="L17" s="354">
        <f>L8*10</f>
        <v>123477500</v>
      </c>
      <c r="M17" s="353">
        <f>SUM(K8+K9+K10+K11+K12+K13+K14+K15+K16+K17)-L17</f>
        <v>14455251.039999992</v>
      </c>
    </row>
    <row r="18" spans="1:13" ht="14.1" customHeight="1" x14ac:dyDescent="0.2">
      <c r="A18" s="246" t="s">
        <v>17</v>
      </c>
      <c r="B18" s="252">
        <f>57283110.62+95813706.1</f>
        <v>153096816.72</v>
      </c>
      <c r="C18" s="253">
        <f>C8*11</f>
        <v>1512121416.6666667</v>
      </c>
      <c r="D18" s="249">
        <f>SUM(B8+B9+B10+B11+B12+B13+B14+B15+B16+B17+B18)-C18</f>
        <v>49673558.563333273</v>
      </c>
      <c r="E18" s="247">
        <f>3915422.57+6549070.84</f>
        <v>10464493.41</v>
      </c>
      <c r="F18" s="253">
        <f>F8*11</f>
        <v>102949916.66666667</v>
      </c>
      <c r="G18" s="249">
        <f>SUM(E8+E9+E10+E11+E12+E13+E14+E15+E16+E17+E18)-F18</f>
        <v>3788473.5833333284</v>
      </c>
      <c r="H18" s="247">
        <f>1716604.02+995461.08</f>
        <v>2712065.1</v>
      </c>
      <c r="I18" s="253">
        <f>I8*11</f>
        <v>53769833.333333336</v>
      </c>
      <c r="J18" s="249">
        <f>SUM(H8+H9+H10+H11+H12+H13+H14+H15+H16+H17+H18)-I18</f>
        <v>-26305151.653333336</v>
      </c>
      <c r="K18" s="252">
        <f>8345183.59+5203945.84</f>
        <v>13549129.43</v>
      </c>
      <c r="L18" s="253">
        <f>L8*11</f>
        <v>135825250</v>
      </c>
      <c r="M18" s="249">
        <f>SUM(K8+K9+K10+K11+K12+K13+K14+K15+K16+K17+K18)-L18</f>
        <v>15656630.469999999</v>
      </c>
    </row>
    <row r="19" spans="1:13" ht="14.1" customHeight="1" thickBot="1" x14ac:dyDescent="0.25">
      <c r="A19" s="339" t="s">
        <v>18</v>
      </c>
      <c r="B19" s="331">
        <f>58625367.92+115544333.47</f>
        <v>174169701.38999999</v>
      </c>
      <c r="C19" s="332">
        <f>C8*12</f>
        <v>1649587000</v>
      </c>
      <c r="D19" s="249">
        <f>SUM(B8+B9+B10+B11+B12+B13+B14+B15+B16+B17+B18+B19)-C19</f>
        <v>86377676.619999886</v>
      </c>
      <c r="E19" s="333">
        <f>4007168.72+7897701.26</f>
        <v>11904869.98</v>
      </c>
      <c r="F19" s="332">
        <f>F8*12</f>
        <v>112309000</v>
      </c>
      <c r="G19" s="249">
        <f>SUM(E8+E9+E10+E11+E12+E13+E14+E15+E16+E17+E18+E19)-F19</f>
        <v>6334260.2300000042</v>
      </c>
      <c r="H19" s="333">
        <f>973922.46+12987392.08</f>
        <v>13961314.539999999</v>
      </c>
      <c r="I19" s="332">
        <f>I8*12</f>
        <v>58658000</v>
      </c>
      <c r="J19" s="249">
        <f>SUM(H8+H9+H10+H11+H12+H13+H14+H15+H16+H17+H18+H19)-I19</f>
        <v>-17232003.780000001</v>
      </c>
      <c r="K19" s="334">
        <f>6399674.12+5702308.56</f>
        <v>12101982.68</v>
      </c>
      <c r="L19" s="332">
        <f>L8*12</f>
        <v>148173000</v>
      </c>
      <c r="M19" s="249">
        <f>SUM(K8+K9+K10+K11+K12+K13+K14+K15+K16+K17+K18+K19)-L19</f>
        <v>15410863.150000006</v>
      </c>
    </row>
    <row r="20" spans="1:13" ht="15" customHeight="1" thickBot="1" x14ac:dyDescent="0.25">
      <c r="A20" s="257" t="s">
        <v>19</v>
      </c>
      <c r="B20" s="345">
        <f>SUM(B8:B19)</f>
        <v>1735964676.6199999</v>
      </c>
      <c r="C20" s="258">
        <v>1649587000</v>
      </c>
      <c r="D20" s="259"/>
      <c r="E20" s="345">
        <f>SUM(E8:E19)</f>
        <v>118643260.23</v>
      </c>
      <c r="F20" s="258">
        <v>112309000</v>
      </c>
      <c r="G20" s="260"/>
      <c r="H20" s="345">
        <f>SUM(H8:H19)</f>
        <v>41425996.219999999</v>
      </c>
      <c r="I20" s="258">
        <v>58658000</v>
      </c>
      <c r="J20" s="260"/>
      <c r="K20" s="345">
        <f>SUM(K8:K19)</f>
        <v>163583863.15000001</v>
      </c>
      <c r="L20" s="258">
        <v>148173000</v>
      </c>
      <c r="M20" s="375"/>
    </row>
    <row r="21" spans="1:13" ht="15.7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5.7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5.7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2.75" customHeight="1" x14ac:dyDescent="0.2">
      <c r="A24" s="567" t="s">
        <v>2</v>
      </c>
      <c r="B24" s="576" t="s">
        <v>20</v>
      </c>
      <c r="C24" s="648"/>
      <c r="D24" s="649"/>
      <c r="E24" s="582" t="s">
        <v>21</v>
      </c>
      <c r="F24" s="648"/>
      <c r="G24" s="649"/>
      <c r="H24" s="583" t="s">
        <v>22</v>
      </c>
      <c r="I24" s="648"/>
      <c r="J24" s="649"/>
      <c r="K24" s="370"/>
    </row>
    <row r="25" spans="1:13" ht="13.5" thickBot="1" x14ac:dyDescent="0.25">
      <c r="A25" s="645"/>
      <c r="B25" s="650"/>
      <c r="C25" s="651"/>
      <c r="D25" s="652"/>
      <c r="E25" s="650"/>
      <c r="F25" s="651"/>
      <c r="G25" s="652"/>
      <c r="H25" s="650"/>
      <c r="I25" s="651"/>
      <c r="J25" s="652"/>
      <c r="K25" s="370"/>
    </row>
    <row r="26" spans="1:13" ht="12.75" customHeight="1" x14ac:dyDescent="0.2">
      <c r="A26" s="645"/>
      <c r="B26" s="563" t="s">
        <v>24</v>
      </c>
      <c r="C26" s="557" t="s">
        <v>31</v>
      </c>
      <c r="D26" s="559" t="s">
        <v>32</v>
      </c>
      <c r="E26" s="563" t="s">
        <v>25</v>
      </c>
      <c r="F26" s="557" t="s">
        <v>31</v>
      </c>
      <c r="G26" s="559" t="s">
        <v>32</v>
      </c>
      <c r="H26" s="566" t="s">
        <v>19</v>
      </c>
      <c r="I26" s="557" t="s">
        <v>31</v>
      </c>
      <c r="J26" s="559" t="s">
        <v>32</v>
      </c>
      <c r="K26" s="553" t="s">
        <v>37</v>
      </c>
    </row>
    <row r="27" spans="1:13" ht="13.5" thickBot="1" x14ac:dyDescent="0.25">
      <c r="A27" s="646"/>
      <c r="B27" s="655"/>
      <c r="C27" s="635"/>
      <c r="D27" s="634"/>
      <c r="E27" s="655"/>
      <c r="F27" s="654"/>
      <c r="G27" s="634"/>
      <c r="H27" s="636"/>
      <c r="I27" s="635"/>
      <c r="J27" s="634"/>
      <c r="K27" s="653"/>
    </row>
    <row r="28" spans="1:13" ht="14.1" customHeight="1" x14ac:dyDescent="0.2">
      <c r="A28" s="369" t="s">
        <v>7</v>
      </c>
      <c r="B28" s="368">
        <f>34564872.68+7484983.77</f>
        <v>42049856.450000003</v>
      </c>
      <c r="C28" s="367">
        <f>C40/12</f>
        <v>134936166.66666666</v>
      </c>
      <c r="D28" s="366">
        <f>B28-C28</f>
        <v>-92886310.216666654</v>
      </c>
      <c r="E28" s="365">
        <f>267116000.66+31672186.18</f>
        <v>298788186.83999997</v>
      </c>
      <c r="F28" s="362">
        <f>F40/12</f>
        <v>307690750</v>
      </c>
      <c r="G28" s="364">
        <f>E28-F28</f>
        <v>-8902563.1600000262</v>
      </c>
      <c r="H28" s="363">
        <f t="shared" ref="H28:H40" si="0">$B8+$E8+$H8+$K8+$B28+$E28</f>
        <v>516351749.89999998</v>
      </c>
      <c r="I28" s="362">
        <f>I40/12</f>
        <v>606687500</v>
      </c>
      <c r="J28" s="361">
        <f>H28-I28</f>
        <v>-90335750.100000024</v>
      </c>
      <c r="K28" s="360">
        <f>J28/I40</f>
        <v>-1.2408330771608122E-2</v>
      </c>
    </row>
    <row r="29" spans="1:13" ht="14.1" customHeight="1" x14ac:dyDescent="0.2">
      <c r="A29" s="269" t="s">
        <v>8</v>
      </c>
      <c r="B29" s="270">
        <f>6338763.26+2078423.14</f>
        <v>8417186.4000000004</v>
      </c>
      <c r="C29" s="253">
        <f>C28*2</f>
        <v>269872333.33333331</v>
      </c>
      <c r="D29" s="249">
        <f>SUM(B28+B29)-C29</f>
        <v>-219405290.48333332</v>
      </c>
      <c r="E29" s="271">
        <f>389369046.81+24708440.51</f>
        <v>414077487.31999999</v>
      </c>
      <c r="F29" s="254">
        <f>F28*2</f>
        <v>615381500</v>
      </c>
      <c r="G29" s="249">
        <f>SUM(E28+E29)-F29</f>
        <v>97484174.159999967</v>
      </c>
      <c r="H29" s="256">
        <f t="shared" si="0"/>
        <v>597755223.25</v>
      </c>
      <c r="I29" s="254">
        <f>I28*2</f>
        <v>1213375000</v>
      </c>
      <c r="J29" s="249">
        <f>SUM(H28+H29)-I29</f>
        <v>-99268026.849999905</v>
      </c>
      <c r="K29" s="272">
        <f>J29/I40</f>
        <v>-1.3635249730435069E-2</v>
      </c>
    </row>
    <row r="30" spans="1:13" ht="14.1" customHeight="1" x14ac:dyDescent="0.2">
      <c r="A30" s="269" t="s">
        <v>9</v>
      </c>
      <c r="B30" s="273">
        <f>5934281.14+269903842.37</f>
        <v>275838123.50999999</v>
      </c>
      <c r="C30" s="254">
        <f>C28*3</f>
        <v>404808500</v>
      </c>
      <c r="D30" s="249">
        <f>SUM(B28+B29+B30)-C30</f>
        <v>-78503333.639999986</v>
      </c>
      <c r="E30" s="271">
        <f>176977276.47+17402469.5</f>
        <v>194379745.97</v>
      </c>
      <c r="F30" s="254">
        <f>F28*3</f>
        <v>923072250</v>
      </c>
      <c r="G30" s="249">
        <f>SUM(E28+E29+E30)-F30</f>
        <v>-15826829.870000005</v>
      </c>
      <c r="H30" s="255">
        <f t="shared" si="0"/>
        <v>615000647.22000003</v>
      </c>
      <c r="I30" s="254">
        <f>I28*3</f>
        <v>1820062500</v>
      </c>
      <c r="J30" s="249">
        <f>SUM(H28+H29+H30)-I30</f>
        <v>-90954879.629999876</v>
      </c>
      <c r="K30" s="272">
        <f>J30/I40</f>
        <v>-1.2493373116307802E-2</v>
      </c>
    </row>
    <row r="31" spans="1:13" ht="14.1" customHeight="1" x14ac:dyDescent="0.2">
      <c r="A31" s="269" t="s">
        <v>10</v>
      </c>
      <c r="B31" s="270">
        <f>63999230.94+25635326.25</f>
        <v>89634557.189999998</v>
      </c>
      <c r="C31" s="253">
        <f>C28*4</f>
        <v>539744666.66666663</v>
      </c>
      <c r="D31" s="249">
        <f>SUM(B28+B29+B30+B31)-C31</f>
        <v>-123804943.11666662</v>
      </c>
      <c r="E31" s="274">
        <f>203368105.33+17289080.45</f>
        <v>220657185.78</v>
      </c>
      <c r="F31" s="253">
        <f>F28*4</f>
        <v>1230763000</v>
      </c>
      <c r="G31" s="249">
        <f>SUM(E28+E29+E30+E31)-F31</f>
        <v>-102860394.08999991</v>
      </c>
      <c r="H31" s="255">
        <f t="shared" si="0"/>
        <v>430766113.04999995</v>
      </c>
      <c r="I31" s="253">
        <f>I28*4</f>
        <v>2426750000</v>
      </c>
      <c r="J31" s="249">
        <f>SUM(H28+H29+H30+H31)-I31</f>
        <v>-266876266.57999992</v>
      </c>
      <c r="K31" s="272">
        <f>J31/I40</f>
        <v>-3.6657568981834407E-2</v>
      </c>
    </row>
    <row r="32" spans="1:13" ht="14.1" customHeight="1" x14ac:dyDescent="0.2">
      <c r="A32" s="269" t="s">
        <v>11</v>
      </c>
      <c r="B32" s="273">
        <f>731003.92</f>
        <v>731003.92</v>
      </c>
      <c r="C32" s="253">
        <f>C28*5</f>
        <v>674680833.33333325</v>
      </c>
      <c r="D32" s="249">
        <f>SUM(B28+B29+B30+B31+B32)-C32</f>
        <v>-258010105.86333323</v>
      </c>
      <c r="E32" s="274">
        <f>338719261.8+18559096.26</f>
        <v>357278358.06</v>
      </c>
      <c r="F32" s="253">
        <f>F28*5</f>
        <v>1538453750</v>
      </c>
      <c r="G32" s="249">
        <f>SUM(E28+E29+E30+E31+E32)-F32</f>
        <v>-53272786.029999971</v>
      </c>
      <c r="H32" s="255">
        <f t="shared" si="0"/>
        <v>516042939.02999997</v>
      </c>
      <c r="I32" s="253">
        <f>I28*5</f>
        <v>3033437500</v>
      </c>
      <c r="J32" s="249">
        <f>SUM(H28+H29+H30+H31+H32)-I32</f>
        <v>-357520827.55000019</v>
      </c>
      <c r="K32" s="272">
        <f>J32/I40</f>
        <v>-4.9108317372343009E-2</v>
      </c>
    </row>
    <row r="33" spans="1:13" ht="14.1" customHeight="1" x14ac:dyDescent="0.2">
      <c r="A33" s="269" t="s">
        <v>12</v>
      </c>
      <c r="B33" s="270">
        <f>11182248.68+284402718.19</f>
        <v>295584966.87</v>
      </c>
      <c r="C33" s="253">
        <f>C28*6</f>
        <v>809617000</v>
      </c>
      <c r="D33" s="249">
        <f>SUM(B28+B29+B30+B31+B32+B33)-C33</f>
        <v>-97361305.659999967</v>
      </c>
      <c r="E33" s="274">
        <f>252972112.66+8402907.37</f>
        <v>261375020.03</v>
      </c>
      <c r="F33" s="253">
        <f>F28*6</f>
        <v>1846144500</v>
      </c>
      <c r="G33" s="249">
        <f>SUM(E28+E29+E30+E31+E32+E33)-F33</f>
        <v>-99588516</v>
      </c>
      <c r="H33" s="255">
        <f t="shared" si="0"/>
        <v>739683228.28999996</v>
      </c>
      <c r="I33" s="253">
        <f>I28*6</f>
        <v>3640125000</v>
      </c>
      <c r="J33" s="249">
        <f>SUM(H28+H29+H30+H31+H32+H33)-I33</f>
        <v>-224525099.26000023</v>
      </c>
      <c r="K33" s="272">
        <f>J33/I40</f>
        <v>-3.0840300712200848E-2</v>
      </c>
    </row>
    <row r="34" spans="1:13" ht="14.1" customHeight="1" x14ac:dyDescent="0.2">
      <c r="A34" s="269" t="s">
        <v>13</v>
      </c>
      <c r="B34" s="273">
        <f>170893457.2+122052210.84</f>
        <v>292945668.03999996</v>
      </c>
      <c r="C34" s="253">
        <f>C28*7</f>
        <v>944553166.66666663</v>
      </c>
      <c r="D34" s="249">
        <f>SUM(B28+B29+B30+B31+B32+B33+B34)-C34</f>
        <v>60648195.713333368</v>
      </c>
      <c r="E34" s="274">
        <f>291290871.13+11317306.62</f>
        <v>302608177.75</v>
      </c>
      <c r="F34" s="253">
        <f>F28*7</f>
        <v>2153835250</v>
      </c>
      <c r="G34" s="249">
        <f>SUM(E28+E29+E30+E31+E32+E33+E34)-F34</f>
        <v>-104671088.25</v>
      </c>
      <c r="H34" s="255">
        <f t="shared" si="0"/>
        <v>772688498.62</v>
      </c>
      <c r="I34" s="253">
        <f>I28*7</f>
        <v>4246812500</v>
      </c>
      <c r="J34" s="249">
        <f>SUM(H28+H29+H30+H31+H32+H33+H34)-I34</f>
        <v>-58524100.640000343</v>
      </c>
      <c r="K34" s="272">
        <f>J34/I40</f>
        <v>-8.0387487572542628E-3</v>
      </c>
    </row>
    <row r="35" spans="1:13" ht="14.1" customHeight="1" x14ac:dyDescent="0.2">
      <c r="A35" s="358" t="s">
        <v>14</v>
      </c>
      <c r="B35" s="357">
        <v>0</v>
      </c>
      <c r="C35" s="354">
        <f>C28*8</f>
        <v>1079489333.3333333</v>
      </c>
      <c r="D35" s="353">
        <f>SUM(B28+B29+B30+B31+B32+B33+B34+B35)-C35</f>
        <v>-74287970.953333259</v>
      </c>
      <c r="E35" s="356">
        <f>376581562.72+15901331.63</f>
        <v>392482894.35000002</v>
      </c>
      <c r="F35" s="354">
        <f>F28*8</f>
        <v>2461526000</v>
      </c>
      <c r="G35" s="353">
        <f>SUM(E28+E29+E30+E31+E32+E33+E34+E35)-F35</f>
        <v>-19878943.900000095</v>
      </c>
      <c r="H35" s="355">
        <f t="shared" si="0"/>
        <v>582582858.58000004</v>
      </c>
      <c r="I35" s="354">
        <f>I28*8</f>
        <v>4853500000</v>
      </c>
      <c r="J35" s="353">
        <f>SUM(H28+H29+H30+H31+H32+H33+H34+H35)-I35</f>
        <v>-82628742.06000042</v>
      </c>
      <c r="K35" s="352">
        <f>J35/I40</f>
        <v>-1.1349712174719332E-2</v>
      </c>
    </row>
    <row r="36" spans="1:13" ht="14.1" customHeight="1" x14ac:dyDescent="0.2">
      <c r="A36" s="269" t="s">
        <v>15</v>
      </c>
      <c r="B36" s="273">
        <f>118575134.48</f>
        <v>118575134.48</v>
      </c>
      <c r="C36" s="253">
        <f>C28*9</f>
        <v>1214425500</v>
      </c>
      <c r="D36" s="249">
        <f>SUM(B28+B29+B30+B31+B32+B33+B34+B35+B36)-C36</f>
        <v>-90649003.140000105</v>
      </c>
      <c r="E36" s="274">
        <f>222304187.11</f>
        <v>222304187.11000001</v>
      </c>
      <c r="F36" s="253">
        <f>F28*9</f>
        <v>2769216750</v>
      </c>
      <c r="G36" s="249">
        <f>SUM(E28+E29+E30+E31+E32+E33+E34+E35+E36)-F36</f>
        <v>-105265506.78999996</v>
      </c>
      <c r="H36" s="255">
        <f t="shared" si="0"/>
        <v>507514192.58999997</v>
      </c>
      <c r="I36" s="253">
        <f>I28*9</f>
        <v>5460187500</v>
      </c>
      <c r="J36" s="249">
        <f>SUM(H28+H29+H30+H31+H32+H33+H34+H35+H36)-I36</f>
        <v>-181802049.47000027</v>
      </c>
      <c r="K36" s="272">
        <f>J36/I40</f>
        <v>-2.4971951439854437E-2</v>
      </c>
    </row>
    <row r="37" spans="1:13" ht="14.1" customHeight="1" x14ac:dyDescent="0.2">
      <c r="A37" s="358" t="s">
        <v>16</v>
      </c>
      <c r="B37" s="357">
        <f>114575939.4+30035594.08</f>
        <v>144611533.48000002</v>
      </c>
      <c r="C37" s="354">
        <f>C28*10</f>
        <v>1349361666.6666665</v>
      </c>
      <c r="D37" s="353">
        <f>SUM(B28+B29+B30+B31+B32+B33+B34+B35+B36+B37)-C37</f>
        <v>-80973636.326666594</v>
      </c>
      <c r="E37" s="356">
        <f>247432764.91+38905116.4</f>
        <v>286337881.31</v>
      </c>
      <c r="F37" s="354">
        <f>F28*10</f>
        <v>3076907500</v>
      </c>
      <c r="G37" s="353">
        <f>SUM(E28+E29+E30+E31+E32+E33+E34+E35+E36+E37)-F37</f>
        <v>-126618375.48000002</v>
      </c>
      <c r="H37" s="355">
        <f t="shared" si="0"/>
        <v>607949127.29999995</v>
      </c>
      <c r="I37" s="354">
        <f>I28*10</f>
        <v>6066875000</v>
      </c>
      <c r="J37" s="353">
        <f>SUM(H28+H29+H30+H31+H32+H33+H34+H35+H36+H37)-I37</f>
        <v>-180540422.17000008</v>
      </c>
      <c r="K37" s="352">
        <f>J37/I40</f>
        <v>-2.4798656937605176E-2</v>
      </c>
    </row>
    <row r="38" spans="1:13" ht="14.1" customHeight="1" x14ac:dyDescent="0.2">
      <c r="A38" s="269" t="s">
        <v>17</v>
      </c>
      <c r="B38" s="270">
        <f>5311229.17+5635388.08</f>
        <v>10946617.25</v>
      </c>
      <c r="C38" s="253">
        <f>C28*11</f>
        <v>1484297833.3333333</v>
      </c>
      <c r="D38" s="249">
        <f>SUM(B28+B29+B30+B31+B32+B33+B34+B35+B36+B37+B38)-C38</f>
        <v>-204963185.74333334</v>
      </c>
      <c r="E38" s="274">
        <f>384729885.41+19867538.63</f>
        <v>404597424.04000002</v>
      </c>
      <c r="F38" s="253">
        <f>F28*11</f>
        <v>3384598250</v>
      </c>
      <c r="G38" s="249">
        <f>SUM(E28+E29+E30+E31+E32+E33+E34+E35+E36+E37+E38)-F38</f>
        <v>-29711701.440000057</v>
      </c>
      <c r="H38" s="255">
        <f t="shared" si="0"/>
        <v>595366545.95000005</v>
      </c>
      <c r="I38" s="253">
        <f>I28*11</f>
        <v>6673562500</v>
      </c>
      <c r="J38" s="249">
        <f>SUM(H28+H29+H30+H31+H32+H33+H34+H35+H36+H37+H38)-I38</f>
        <v>-191861376.22000027</v>
      </c>
      <c r="K38" s="272">
        <f>J38/I40</f>
        <v>-2.6353679642869443E-2</v>
      </c>
    </row>
    <row r="39" spans="1:13" ht="14.1" customHeight="1" thickBot="1" x14ac:dyDescent="0.25">
      <c r="A39" s="340" t="s">
        <v>18</v>
      </c>
      <c r="B39" s="335">
        <f>4415446.51+217855376.21</f>
        <v>222270822.72</v>
      </c>
      <c r="C39" s="332">
        <f>C28*12</f>
        <v>1619234000</v>
      </c>
      <c r="D39" s="410">
        <f>SUM(B28+B29+B30+B31+B32+B33+B34+B35+B36+B37+B38+B39)-C39</f>
        <v>-117628529.69000006</v>
      </c>
      <c r="E39" s="337">
        <f>327889854.88+15909503.22</f>
        <v>343799358.10000002</v>
      </c>
      <c r="F39" s="332">
        <f>F28*12</f>
        <v>3692289000</v>
      </c>
      <c r="G39" s="249">
        <f>SUM(E28+E29+E30+E31+E32+E33+E34+E35+E36+E37+E38+E39)-F39</f>
        <v>6396906.6599998474</v>
      </c>
      <c r="H39" s="275">
        <f t="shared" si="0"/>
        <v>778208049.40999997</v>
      </c>
      <c r="I39" s="338">
        <f>I28*12</f>
        <v>7280250000</v>
      </c>
      <c r="J39" s="411">
        <f>SUM(H28+H29+H30+H31+H32+H33+H34+H35+H36+H37+H38+H39)-I39</f>
        <v>-20340826.81000042</v>
      </c>
      <c r="K39" s="272">
        <f>J39/I40</f>
        <v>-2.7939736698602961E-3</v>
      </c>
    </row>
    <row r="40" spans="1:13" ht="15" customHeight="1" thickBot="1" x14ac:dyDescent="0.25">
      <c r="A40" s="257" t="s">
        <v>19</v>
      </c>
      <c r="B40" s="347">
        <f>SUM(B28:B39)</f>
        <v>1501605470.3099999</v>
      </c>
      <c r="C40" s="276">
        <v>1619234000</v>
      </c>
      <c r="D40" s="277"/>
      <c r="E40" s="345">
        <f>SUM(E28:E39)</f>
        <v>3698685906.6599998</v>
      </c>
      <c r="F40" s="258">
        <v>3692289000</v>
      </c>
      <c r="G40" s="278"/>
      <c r="H40" s="351">
        <f t="shared" si="0"/>
        <v>7259909173.1899996</v>
      </c>
      <c r="I40" s="279">
        <f>C20+F20+I20+L20+C40+F40</f>
        <v>7280250000</v>
      </c>
      <c r="J40" s="280"/>
      <c r="K40" s="350"/>
    </row>
    <row r="41" spans="1:13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3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4">
    <mergeCell ref="A42:M42"/>
    <mergeCell ref="A24:A27"/>
    <mergeCell ref="D26:D27"/>
    <mergeCell ref="G26:G27"/>
    <mergeCell ref="J26:J27"/>
    <mergeCell ref="B24:D25"/>
    <mergeCell ref="E24:G25"/>
    <mergeCell ref="H24:J25"/>
    <mergeCell ref="K26:K27"/>
    <mergeCell ref="F26:F27"/>
    <mergeCell ref="B26:B27"/>
    <mergeCell ref="H26:H27"/>
    <mergeCell ref="E26:E27"/>
    <mergeCell ref="A1:M1"/>
    <mergeCell ref="A2:M2"/>
    <mergeCell ref="K6:K7"/>
    <mergeCell ref="I6:I7"/>
    <mergeCell ref="B4:D5"/>
    <mergeCell ref="A4:A7"/>
    <mergeCell ref="L6:L7"/>
    <mergeCell ref="D6:D7"/>
    <mergeCell ref="G6:G7"/>
    <mergeCell ref="J6:J7"/>
    <mergeCell ref="E4:G5"/>
    <mergeCell ref="H4:J5"/>
    <mergeCell ref="C6:C7"/>
    <mergeCell ref="F6:F7"/>
    <mergeCell ref="B6:B7"/>
    <mergeCell ref="K4:M5"/>
    <mergeCell ref="M6:M7"/>
    <mergeCell ref="C26:C27"/>
    <mergeCell ref="I26:I27"/>
    <mergeCell ref="E6:E7"/>
    <mergeCell ref="H6:H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1" tint="4.9989318521683403E-2"/>
    <pageSetUpPr fitToPage="1"/>
  </sheetPr>
  <dimension ref="A1:S73"/>
  <sheetViews>
    <sheetView showGridLines="0" view="pageBreakPreview" zoomScaleNormal="100" zoomScaleSheetLayoutView="100" workbookViewId="0">
      <selection activeCell="B50" sqref="B50:S5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8.5" x14ac:dyDescent="0.45">
      <c r="A1" s="57"/>
      <c r="B1" s="656" t="s">
        <v>97</v>
      </c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7"/>
      <c r="S1" s="657"/>
    </row>
    <row r="2" spans="1:19" ht="20.25" x14ac:dyDescent="0.3">
      <c r="B2" s="587" t="s">
        <v>109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92"/>
      <c r="P2" s="592"/>
      <c r="Q2" s="592"/>
      <c r="R2" s="592"/>
      <c r="S2" s="592"/>
    </row>
    <row r="3" spans="1:19" ht="12.75" customHeight="1" x14ac:dyDescent="0.25">
      <c r="A3" s="59"/>
    </row>
    <row r="38" spans="11:19" x14ac:dyDescent="0.2">
      <c r="K38" s="60"/>
    </row>
    <row r="39" spans="11:19" x14ac:dyDescent="0.2">
      <c r="K39" s="60"/>
    </row>
    <row r="44" spans="11:19" x14ac:dyDescent="0.2">
      <c r="K44" s="61"/>
      <c r="L44" s="62"/>
      <c r="M44" s="62"/>
      <c r="N44" s="62"/>
      <c r="O44" s="62"/>
      <c r="P44" s="62"/>
      <c r="Q44" s="62"/>
      <c r="R44" s="62"/>
      <c r="S44" s="62"/>
    </row>
    <row r="45" spans="11:19" x14ac:dyDescent="0.2">
      <c r="L45" s="62"/>
      <c r="M45" s="62"/>
      <c r="N45" s="62"/>
      <c r="O45" s="62"/>
      <c r="P45" s="62"/>
      <c r="Q45" s="62"/>
      <c r="R45" s="62"/>
      <c r="S45" s="62"/>
    </row>
    <row r="46" spans="11:19" x14ac:dyDescent="0.2">
      <c r="L46" s="62"/>
      <c r="M46" s="62"/>
      <c r="N46" s="62"/>
      <c r="O46" s="62"/>
      <c r="P46" s="62"/>
      <c r="Q46" s="62"/>
      <c r="R46" s="62"/>
      <c r="S46" s="62"/>
    </row>
    <row r="47" spans="11:19" x14ac:dyDescent="0.2">
      <c r="K47" s="61"/>
      <c r="L47" s="62"/>
      <c r="M47" s="62"/>
      <c r="N47" s="62"/>
      <c r="O47" s="62"/>
      <c r="P47" s="62"/>
      <c r="Q47" s="62"/>
      <c r="R47" s="62"/>
      <c r="S47" s="62"/>
    </row>
    <row r="48" spans="11:19" x14ac:dyDescent="0.2">
      <c r="K48" s="61" t="s">
        <v>35</v>
      </c>
      <c r="L48" s="62"/>
      <c r="M48" s="62"/>
      <c r="N48" s="62"/>
      <c r="O48" s="62"/>
      <c r="P48" s="62"/>
      <c r="Q48" s="62"/>
      <c r="R48" s="62"/>
      <c r="S48" s="62"/>
    </row>
    <row r="49" spans="1:19" x14ac:dyDescent="0.2">
      <c r="L49" s="62"/>
      <c r="M49" s="62"/>
      <c r="N49" s="62"/>
      <c r="O49" s="62"/>
      <c r="P49" s="62"/>
      <c r="Q49" s="62"/>
      <c r="R49" s="62"/>
      <c r="S49" s="62"/>
    </row>
    <row r="50" spans="1:19" ht="28.5" x14ac:dyDescent="0.45">
      <c r="A50" s="57"/>
      <c r="B50" s="656" t="s">
        <v>98</v>
      </c>
      <c r="C50" s="657"/>
      <c r="D50" s="657"/>
      <c r="E50" s="657"/>
      <c r="F50" s="657"/>
      <c r="G50" s="657"/>
      <c r="H50" s="657"/>
      <c r="I50" s="657"/>
      <c r="J50" s="657"/>
      <c r="K50" s="657"/>
      <c r="L50" s="657"/>
      <c r="M50" s="657"/>
      <c r="N50" s="657"/>
      <c r="O50" s="657"/>
      <c r="P50" s="657"/>
      <c r="Q50" s="657"/>
      <c r="R50" s="657"/>
      <c r="S50" s="657"/>
    </row>
    <row r="51" spans="1:19" ht="20.25" x14ac:dyDescent="0.3">
      <c r="B51" s="587" t="s">
        <v>109</v>
      </c>
      <c r="C51" s="586"/>
      <c r="D51" s="586"/>
      <c r="E51" s="586"/>
      <c r="F51" s="586"/>
      <c r="G51" s="586"/>
      <c r="H51" s="586"/>
      <c r="I51" s="586"/>
      <c r="J51" s="586"/>
      <c r="K51" s="586"/>
      <c r="L51" s="586"/>
      <c r="M51" s="586"/>
      <c r="N51" s="586"/>
      <c r="O51" s="592"/>
      <c r="P51" s="592"/>
      <c r="Q51" s="592"/>
      <c r="R51" s="592"/>
      <c r="S51" s="592"/>
    </row>
    <row r="73" spans="11:19" x14ac:dyDescent="0.2">
      <c r="K73" s="632"/>
      <c r="L73" s="633"/>
      <c r="M73" s="633"/>
      <c r="N73" s="633"/>
      <c r="O73" s="633"/>
      <c r="P73" s="633"/>
      <c r="Q73" s="633"/>
      <c r="R73" s="633"/>
      <c r="S73" s="633"/>
    </row>
  </sheetData>
  <mergeCells count="5">
    <mergeCell ref="B1:S1"/>
    <mergeCell ref="B2:S2"/>
    <mergeCell ref="B50:S50"/>
    <mergeCell ref="B51:S51"/>
    <mergeCell ref="K73:S73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6" fitToHeight="2" orientation="landscape" r:id="rId1"/>
  <headerFooter alignWithMargins="0"/>
  <rowBreaks count="1" manualBreakCount="1">
    <brk id="49" max="19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1" tint="4.9989318521683403E-2"/>
    <pageSetUpPr fitToPage="1"/>
  </sheetPr>
  <dimension ref="A1:N48"/>
  <sheetViews>
    <sheetView showGridLines="0" topLeftCell="A20" zoomScale="120" zoomScaleNormal="120" workbookViewId="0">
      <selection activeCell="A28" sqref="A28:C39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85" t="s">
        <v>108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20.25" x14ac:dyDescent="0.3">
      <c r="A2" s="638" t="s">
        <v>109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67" t="s">
        <v>2</v>
      </c>
      <c r="B4" s="588" t="s">
        <v>95</v>
      </c>
      <c r="C4" s="640"/>
      <c r="D4" s="641"/>
      <c r="E4" s="647" t="s">
        <v>94</v>
      </c>
      <c r="F4" s="640"/>
      <c r="G4" s="641"/>
      <c r="H4" s="591" t="s">
        <v>93</v>
      </c>
      <c r="I4" s="640"/>
      <c r="J4" s="641"/>
      <c r="K4" s="570" t="s">
        <v>92</v>
      </c>
      <c r="L4" s="640"/>
      <c r="M4" s="641"/>
      <c r="N4" s="73"/>
    </row>
    <row r="5" spans="1:14" ht="13.5" customHeight="1" thickBot="1" x14ac:dyDescent="0.25">
      <c r="A5" s="645"/>
      <c r="B5" s="642"/>
      <c r="C5" s="643"/>
      <c r="D5" s="644"/>
      <c r="E5" s="642"/>
      <c r="F5" s="643"/>
      <c r="G5" s="644"/>
      <c r="H5" s="642"/>
      <c r="I5" s="643"/>
      <c r="J5" s="644"/>
      <c r="K5" s="642"/>
      <c r="L5" s="643"/>
      <c r="M5" s="644"/>
      <c r="N5" s="71"/>
    </row>
    <row r="6" spans="1:14" ht="12.75" customHeight="1" x14ac:dyDescent="0.2">
      <c r="A6" s="645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84" t="s">
        <v>6</v>
      </c>
      <c r="I6" s="557" t="s">
        <v>31</v>
      </c>
      <c r="J6" s="559" t="s">
        <v>32</v>
      </c>
      <c r="K6" s="584" t="s">
        <v>23</v>
      </c>
      <c r="L6" s="557" t="s">
        <v>31</v>
      </c>
      <c r="M6" s="559" t="s">
        <v>32</v>
      </c>
    </row>
    <row r="7" spans="1:14" ht="13.5" thickBot="1" x14ac:dyDescent="0.25">
      <c r="A7" s="646"/>
      <c r="B7" s="636"/>
      <c r="C7" s="635"/>
      <c r="D7" s="634"/>
      <c r="E7" s="636"/>
      <c r="F7" s="635"/>
      <c r="G7" s="634"/>
      <c r="H7" s="636"/>
      <c r="I7" s="635"/>
      <c r="J7" s="634"/>
      <c r="K7" s="636"/>
      <c r="L7" s="635"/>
      <c r="M7" s="634"/>
    </row>
    <row r="8" spans="1:14" ht="14.1" customHeight="1" x14ac:dyDescent="0.2">
      <c r="A8" s="380" t="s">
        <v>7</v>
      </c>
      <c r="B8" s="377">
        <f>59897999.77+91183324.28</f>
        <v>151081324.05000001</v>
      </c>
      <c r="C8" s="367">
        <f>C20/12</f>
        <v>137465583.33333334</v>
      </c>
      <c r="D8" s="353">
        <f>B8-C8</f>
        <v>13615740.716666669</v>
      </c>
      <c r="E8" s="379">
        <f>4080534.09+6268819.79</f>
        <v>10349353.879999999</v>
      </c>
      <c r="F8" s="367">
        <f>F20/12</f>
        <v>9359083.333333334</v>
      </c>
      <c r="G8" s="353">
        <f>E8-F8</f>
        <v>990270.546666665</v>
      </c>
      <c r="H8" s="379">
        <f>2940858.81+746558.19</f>
        <v>3687417</v>
      </c>
      <c r="I8" s="367">
        <f>I20/12</f>
        <v>4888166.666666667</v>
      </c>
      <c r="J8" s="366">
        <f>H8-I8</f>
        <v>-1200749.666666667</v>
      </c>
      <c r="K8" s="379">
        <f>6571472.14+3824139.54</f>
        <v>10395611.68</v>
      </c>
      <c r="L8" s="367">
        <f>L20/12</f>
        <v>12347750</v>
      </c>
      <c r="M8" s="366">
        <f>K8-L8</f>
        <v>-1952138.3200000003</v>
      </c>
    </row>
    <row r="9" spans="1:14" ht="14.1" customHeight="1" x14ac:dyDescent="0.2">
      <c r="A9" s="246" t="s">
        <v>8</v>
      </c>
      <c r="B9" s="252">
        <f>62361904.85+85571373.22+B8</f>
        <v>299014602.12</v>
      </c>
      <c r="C9" s="253">
        <f>C8*2</f>
        <v>274931166.66666669</v>
      </c>
      <c r="D9" s="249">
        <f>B9-C9</f>
        <v>24083435.453333318</v>
      </c>
      <c r="E9" s="247">
        <f>4287357.94+5883000.34+E8</f>
        <v>20519712.16</v>
      </c>
      <c r="F9" s="253">
        <f>F8*2</f>
        <v>18718166.666666668</v>
      </c>
      <c r="G9" s="249">
        <f t="shared" ref="G9:G19" si="0">E9-F9</f>
        <v>1801545.4933333322</v>
      </c>
      <c r="H9" s="247">
        <f>899456.23+975992.25+H8</f>
        <v>5562865.4800000004</v>
      </c>
      <c r="I9" s="253">
        <f>I8*2</f>
        <v>9776333.333333334</v>
      </c>
      <c r="J9" s="249">
        <f t="shared" ref="J9:J19" si="1">H9-I9</f>
        <v>-4213467.8533333335</v>
      </c>
      <c r="K9" s="252">
        <f>11426447.77+3855016.93+K8</f>
        <v>25677076.379999999</v>
      </c>
      <c r="L9" s="253">
        <f>L8*2</f>
        <v>24695500</v>
      </c>
      <c r="M9" s="249">
        <f t="shared" ref="M9:M19" si="2">K9-L9</f>
        <v>981576.37999999896</v>
      </c>
    </row>
    <row r="10" spans="1:14" ht="14.1" customHeight="1" x14ac:dyDescent="0.2">
      <c r="A10" s="246" t="s">
        <v>9</v>
      </c>
      <c r="B10" s="252">
        <f>52315197.94+70089754.75+B9</f>
        <v>421419554.81</v>
      </c>
      <c r="C10" s="253">
        <f>C8*3</f>
        <v>412396750</v>
      </c>
      <c r="D10" s="249">
        <f>B10-C10</f>
        <v>9022804.8100000024</v>
      </c>
      <c r="E10" s="247">
        <f>3596650.57+4818644.77+E9</f>
        <v>28935007.5</v>
      </c>
      <c r="F10" s="254">
        <f>F8*3</f>
        <v>28077250</v>
      </c>
      <c r="G10" s="249">
        <f t="shared" si="0"/>
        <v>857757.5</v>
      </c>
      <c r="H10" s="247">
        <f>1786297.21+3618226.06+H9</f>
        <v>10967388.75</v>
      </c>
      <c r="I10" s="254">
        <f>I8*3</f>
        <v>14664500</v>
      </c>
      <c r="J10" s="249">
        <f t="shared" si="1"/>
        <v>-3697111.25</v>
      </c>
      <c r="K10" s="252">
        <f>4176949.37+4381057.07+K9</f>
        <v>34235082.82</v>
      </c>
      <c r="L10" s="254">
        <f>L8*3</f>
        <v>37043250</v>
      </c>
      <c r="M10" s="249">
        <f t="shared" si="2"/>
        <v>-2808167.1799999997</v>
      </c>
    </row>
    <row r="11" spans="1:14" ht="14.1" customHeight="1" x14ac:dyDescent="0.2">
      <c r="A11" s="246" t="s">
        <v>10</v>
      </c>
      <c r="B11" s="252">
        <f>41709687.44+61478419.11+B10</f>
        <v>524607661.36000001</v>
      </c>
      <c r="C11" s="253">
        <f>C8*4</f>
        <v>549862333.33333337</v>
      </c>
      <c r="D11" s="249">
        <f t="shared" ref="D11:D19" si="3">B11-C11</f>
        <v>-25254671.973333359</v>
      </c>
      <c r="E11" s="247">
        <f>2867525.61+4226618.65+E10</f>
        <v>36029151.759999998</v>
      </c>
      <c r="F11" s="253">
        <f>F8*4</f>
        <v>37436333.333333336</v>
      </c>
      <c r="G11" s="249">
        <f t="shared" si="0"/>
        <v>-1407181.5733333379</v>
      </c>
      <c r="H11" s="247">
        <f t="shared" ref="H11:H15" si="4">H10</f>
        <v>10967388.75</v>
      </c>
      <c r="I11" s="253">
        <f>I8*4</f>
        <v>19552666.666666668</v>
      </c>
      <c r="J11" s="249">
        <f t="shared" si="1"/>
        <v>-8585277.9166666679</v>
      </c>
      <c r="K11" s="252">
        <f>4982236.64+5209882.63+K10</f>
        <v>44427202.090000004</v>
      </c>
      <c r="L11" s="253">
        <f>L8*4</f>
        <v>49391000</v>
      </c>
      <c r="M11" s="249">
        <f t="shared" si="2"/>
        <v>-4963797.9099999964</v>
      </c>
    </row>
    <row r="12" spans="1:14" ht="14.1" customHeight="1" x14ac:dyDescent="0.2">
      <c r="A12" s="246" t="s">
        <v>11</v>
      </c>
      <c r="B12" s="252">
        <f>46051392.24+90521115.22+B11</f>
        <v>661180168.82000005</v>
      </c>
      <c r="C12" s="253">
        <f>C8*5</f>
        <v>687327916.66666675</v>
      </c>
      <c r="D12" s="249">
        <f t="shared" si="3"/>
        <v>-26147747.846666694</v>
      </c>
      <c r="E12" s="247">
        <f>3166016.22+6223293.25+E11</f>
        <v>45418461.229999997</v>
      </c>
      <c r="F12" s="253">
        <f>F8*5</f>
        <v>46795416.666666672</v>
      </c>
      <c r="G12" s="249">
        <f t="shared" si="0"/>
        <v>-1376955.4366666749</v>
      </c>
      <c r="H12" s="247">
        <f t="shared" si="4"/>
        <v>10967388.75</v>
      </c>
      <c r="I12" s="253">
        <f>I8*5</f>
        <v>24440833.333333336</v>
      </c>
      <c r="J12" s="249">
        <f t="shared" si="1"/>
        <v>-13473444.583333336</v>
      </c>
      <c r="K12" s="252">
        <f>7251232.83+4820527.29+K11</f>
        <v>56498962.210000008</v>
      </c>
      <c r="L12" s="253">
        <f>L8*5</f>
        <v>61738750</v>
      </c>
      <c r="M12" s="249">
        <f>K12-L12</f>
        <v>-5239787.7899999917</v>
      </c>
    </row>
    <row r="13" spans="1:14" ht="14.1" customHeight="1" x14ac:dyDescent="0.2">
      <c r="A13" s="246" t="s">
        <v>12</v>
      </c>
      <c r="B13" s="252">
        <f>61046843.05+96699032.88+B12</f>
        <v>818926044.75</v>
      </c>
      <c r="C13" s="253">
        <f>C8*6</f>
        <v>824793500</v>
      </c>
      <c r="D13" s="249">
        <f t="shared" si="3"/>
        <v>-5867455.25</v>
      </c>
      <c r="E13" s="247">
        <f>4196947.95+6648022.81+E12</f>
        <v>56263431.989999995</v>
      </c>
      <c r="F13" s="253">
        <f>F8*6</f>
        <v>56154500</v>
      </c>
      <c r="G13" s="249">
        <f t="shared" si="0"/>
        <v>108931.98999999464</v>
      </c>
      <c r="H13" s="247">
        <f t="shared" si="4"/>
        <v>10967388.75</v>
      </c>
      <c r="I13" s="253">
        <f>I8*6</f>
        <v>29329000</v>
      </c>
      <c r="J13" s="249">
        <f t="shared" si="1"/>
        <v>-18361611.25</v>
      </c>
      <c r="K13" s="252">
        <f>8093637.35+6038757.35+K12</f>
        <v>70631356.910000011</v>
      </c>
      <c r="L13" s="253">
        <f>L8*6</f>
        <v>74086500</v>
      </c>
      <c r="M13" s="249">
        <f t="shared" si="2"/>
        <v>-3455143.0899999887</v>
      </c>
    </row>
    <row r="14" spans="1:14" ht="14.1" customHeight="1" x14ac:dyDescent="0.2">
      <c r="A14" s="246" t="s">
        <v>13</v>
      </c>
      <c r="B14" s="252">
        <f>59073902.64+87191932.29+B13</f>
        <v>965191879.68000007</v>
      </c>
      <c r="C14" s="253">
        <f>C8*7</f>
        <v>962259083.33333337</v>
      </c>
      <c r="D14" s="249">
        <f t="shared" si="3"/>
        <v>2932796.3466666937</v>
      </c>
      <c r="E14" s="247">
        <f>4061309.01+5994413.17+E13</f>
        <v>66319154.169999994</v>
      </c>
      <c r="F14" s="253">
        <f>F8*7</f>
        <v>65513583.333333336</v>
      </c>
      <c r="G14" s="249">
        <f t="shared" si="0"/>
        <v>805570.83666665852</v>
      </c>
      <c r="H14" s="247">
        <f>3331865.59+H13</f>
        <v>14299254.34</v>
      </c>
      <c r="I14" s="253">
        <f>I8*7</f>
        <v>34217166.666666672</v>
      </c>
      <c r="J14" s="249">
        <f t="shared" si="1"/>
        <v>-19917912.326666672</v>
      </c>
      <c r="K14" s="252">
        <f>10084768.27+7396461.86+K13</f>
        <v>88112587.040000007</v>
      </c>
      <c r="L14" s="253">
        <f>L8*7</f>
        <v>86434250</v>
      </c>
      <c r="M14" s="249">
        <f t="shared" si="2"/>
        <v>1678337.0400000066</v>
      </c>
    </row>
    <row r="15" spans="1:14" ht="14.1" customHeight="1" x14ac:dyDescent="0.2">
      <c r="A15" s="378" t="s">
        <v>14</v>
      </c>
      <c r="B15" s="376">
        <f>66157120.34+94864698.56+B14</f>
        <v>1126213698.5800002</v>
      </c>
      <c r="C15" s="354">
        <f>C8*8</f>
        <v>1099724666.6666667</v>
      </c>
      <c r="D15" s="353">
        <f t="shared" si="3"/>
        <v>26489031.913333416</v>
      </c>
      <c r="E15" s="377">
        <f>4548277.62+6521913.01+E14</f>
        <v>77389344.799999997</v>
      </c>
      <c r="F15" s="354">
        <f>F8*8</f>
        <v>74872666.666666672</v>
      </c>
      <c r="G15" s="353">
        <f t="shared" si="0"/>
        <v>2516678.1333333254</v>
      </c>
      <c r="H15" s="377">
        <f t="shared" si="4"/>
        <v>14299254.34</v>
      </c>
      <c r="I15" s="354">
        <f>I8*8</f>
        <v>39105333.333333336</v>
      </c>
      <c r="J15" s="353">
        <f t="shared" si="1"/>
        <v>-24806078.993333336</v>
      </c>
      <c r="K15" s="376">
        <f>11758931.64+6249023.06+K14</f>
        <v>106120541.74000001</v>
      </c>
      <c r="L15" s="354">
        <f>L8*8</f>
        <v>98782000</v>
      </c>
      <c r="M15" s="353">
        <f t="shared" si="2"/>
        <v>7338541.7400000095</v>
      </c>
    </row>
    <row r="16" spans="1:14" ht="14.1" customHeight="1" x14ac:dyDescent="0.2">
      <c r="A16" s="246" t="s">
        <v>15</v>
      </c>
      <c r="B16" s="252">
        <f>58431882.05+77061449.53+B15</f>
        <v>1261707030.1600001</v>
      </c>
      <c r="C16" s="253">
        <f>C8*9</f>
        <v>1237190250</v>
      </c>
      <c r="D16" s="249">
        <f t="shared" si="3"/>
        <v>24516780.160000086</v>
      </c>
      <c r="E16" s="247">
        <f>4017170.35+4820225.1+E15</f>
        <v>86226740.25</v>
      </c>
      <c r="F16" s="253">
        <f>F8*9</f>
        <v>84231750</v>
      </c>
      <c r="G16" s="249">
        <f t="shared" si="0"/>
        <v>1994990.25</v>
      </c>
      <c r="H16" s="247">
        <f>6434703.59+H15</f>
        <v>20733957.93</v>
      </c>
      <c r="I16" s="253">
        <f>I8*9</f>
        <v>43993500</v>
      </c>
      <c r="J16" s="249">
        <f t="shared" si="1"/>
        <v>-23259542.07</v>
      </c>
      <c r="K16" s="252">
        <f>11307903.32+4561537.06+K15</f>
        <v>121989982.12</v>
      </c>
      <c r="L16" s="253">
        <f>L8*9</f>
        <v>111129750</v>
      </c>
      <c r="M16" s="249">
        <f t="shared" si="2"/>
        <v>10860232.120000005</v>
      </c>
    </row>
    <row r="17" spans="1:13" ht="14.1" customHeight="1" x14ac:dyDescent="0.2">
      <c r="A17" s="378" t="s">
        <v>16</v>
      </c>
      <c r="B17" s="376">
        <f>58312585.53+88678542.82+B16</f>
        <v>1408698158.51</v>
      </c>
      <c r="C17" s="354">
        <f>C8*10</f>
        <v>1374655833.3333335</v>
      </c>
      <c r="D17" s="353">
        <f t="shared" si="3"/>
        <v>34042325.176666498</v>
      </c>
      <c r="E17" s="377">
        <f>3985789.38+6061367.21+E16</f>
        <v>96273896.840000004</v>
      </c>
      <c r="F17" s="354">
        <f>F8*10</f>
        <v>93590833.333333343</v>
      </c>
      <c r="G17" s="353">
        <f t="shared" si="0"/>
        <v>2683063.5066666603</v>
      </c>
      <c r="H17" s="377">
        <f>2974916.77+1043741.88+H16</f>
        <v>24752616.579999998</v>
      </c>
      <c r="I17" s="354">
        <f>I8*10</f>
        <v>48881666.666666672</v>
      </c>
      <c r="J17" s="353">
        <f t="shared" si="1"/>
        <v>-24129050.086666673</v>
      </c>
      <c r="K17" s="376">
        <f>8862720.66+7080048.26+K16</f>
        <v>137932751.03999999</v>
      </c>
      <c r="L17" s="354">
        <f>L8*10</f>
        <v>123477500</v>
      </c>
      <c r="M17" s="353">
        <f t="shared" si="2"/>
        <v>14455251.039999992</v>
      </c>
    </row>
    <row r="18" spans="1:13" ht="14.1" customHeight="1" x14ac:dyDescent="0.2">
      <c r="A18" s="246" t="s">
        <v>17</v>
      </c>
      <c r="B18" s="252">
        <f>57283110.62+95813706.1+B17</f>
        <v>1561794975.23</v>
      </c>
      <c r="C18" s="253">
        <f>C8*11</f>
        <v>1512121416.6666667</v>
      </c>
      <c r="D18" s="249">
        <f t="shared" si="3"/>
        <v>49673558.563333273</v>
      </c>
      <c r="E18" s="247">
        <f>3915422.57+6549070.84+E17</f>
        <v>106738390.25</v>
      </c>
      <c r="F18" s="253">
        <f>F8*11</f>
        <v>102949916.66666667</v>
      </c>
      <c r="G18" s="249">
        <f t="shared" si="0"/>
        <v>3788473.5833333284</v>
      </c>
      <c r="H18" s="247">
        <f>1716604.02+995461.08+H17</f>
        <v>27464681.68</v>
      </c>
      <c r="I18" s="253">
        <f>I8*11</f>
        <v>53769833.333333336</v>
      </c>
      <c r="J18" s="249">
        <f t="shared" si="1"/>
        <v>-26305151.653333336</v>
      </c>
      <c r="K18" s="252">
        <f>8345183.59+5203945.84+K17</f>
        <v>151481880.47</v>
      </c>
      <c r="L18" s="253">
        <f>L8*11</f>
        <v>135825250</v>
      </c>
      <c r="M18" s="249">
        <f t="shared" si="2"/>
        <v>15656630.469999999</v>
      </c>
    </row>
    <row r="19" spans="1:13" ht="14.1" customHeight="1" thickBot="1" x14ac:dyDescent="0.25">
      <c r="A19" s="339" t="s">
        <v>18</v>
      </c>
      <c r="B19" s="252">
        <f>58625367.92+115544333.47+B18</f>
        <v>1735964676.6199999</v>
      </c>
      <c r="C19" s="332">
        <f>C8*12</f>
        <v>1649587000</v>
      </c>
      <c r="D19" s="249">
        <f t="shared" si="3"/>
        <v>86377676.619999886</v>
      </c>
      <c r="E19" s="247">
        <f>4007168.72+7897701.26+E18</f>
        <v>118643260.23</v>
      </c>
      <c r="F19" s="332">
        <f>F8*12</f>
        <v>112309000</v>
      </c>
      <c r="G19" s="249">
        <f t="shared" si="0"/>
        <v>6334260.2300000042</v>
      </c>
      <c r="H19" s="247">
        <f>973922.46+12987392.08+H18</f>
        <v>41425996.219999999</v>
      </c>
      <c r="I19" s="332">
        <f>I8*12</f>
        <v>58658000</v>
      </c>
      <c r="J19" s="249">
        <f t="shared" si="1"/>
        <v>-17232003.780000001</v>
      </c>
      <c r="K19" s="252">
        <f>6399674.12+5702308.56+K18</f>
        <v>163583863.15000001</v>
      </c>
      <c r="L19" s="332">
        <f>L8*12</f>
        <v>148173000</v>
      </c>
      <c r="M19" s="249">
        <f t="shared" si="2"/>
        <v>15410863.150000006</v>
      </c>
    </row>
    <row r="20" spans="1:13" ht="15" customHeight="1" thickBot="1" x14ac:dyDescent="0.25">
      <c r="A20" s="257" t="s">
        <v>19</v>
      </c>
      <c r="B20" s="345">
        <f>B19</f>
        <v>1735964676.6199999</v>
      </c>
      <c r="C20" s="258">
        <v>1649587000</v>
      </c>
      <c r="D20" s="259"/>
      <c r="E20" s="345">
        <f>E19</f>
        <v>118643260.23</v>
      </c>
      <c r="F20" s="258">
        <v>112309000</v>
      </c>
      <c r="G20" s="260"/>
      <c r="H20" s="345">
        <f>H19</f>
        <v>41425996.219999999</v>
      </c>
      <c r="I20" s="258">
        <v>58658000</v>
      </c>
      <c r="J20" s="260"/>
      <c r="K20" s="345">
        <f>K19</f>
        <v>163583863.15000001</v>
      </c>
      <c r="L20" s="258">
        <v>148173000</v>
      </c>
      <c r="M20" s="375"/>
    </row>
    <row r="21" spans="1:13" ht="15.7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5.7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5.7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2.75" customHeight="1" x14ac:dyDescent="0.2">
      <c r="A24" s="567" t="s">
        <v>2</v>
      </c>
      <c r="B24" s="576" t="s">
        <v>20</v>
      </c>
      <c r="C24" s="648"/>
      <c r="D24" s="649"/>
      <c r="E24" s="582" t="s">
        <v>21</v>
      </c>
      <c r="F24" s="648"/>
      <c r="G24" s="649"/>
      <c r="H24" s="583" t="s">
        <v>22</v>
      </c>
      <c r="I24" s="648"/>
      <c r="J24" s="649"/>
      <c r="K24" s="370"/>
    </row>
    <row r="25" spans="1:13" ht="13.5" thickBot="1" x14ac:dyDescent="0.25">
      <c r="A25" s="645"/>
      <c r="B25" s="650"/>
      <c r="C25" s="651"/>
      <c r="D25" s="652"/>
      <c r="E25" s="650"/>
      <c r="F25" s="651"/>
      <c r="G25" s="652"/>
      <c r="H25" s="650"/>
      <c r="I25" s="651"/>
      <c r="J25" s="652"/>
      <c r="K25" s="370"/>
    </row>
    <row r="26" spans="1:13" ht="12.75" customHeight="1" x14ac:dyDescent="0.2">
      <c r="A26" s="645"/>
      <c r="B26" s="563" t="s">
        <v>24</v>
      </c>
      <c r="C26" s="557" t="s">
        <v>31</v>
      </c>
      <c r="D26" s="559" t="s">
        <v>32</v>
      </c>
      <c r="E26" s="563" t="s">
        <v>25</v>
      </c>
      <c r="F26" s="557" t="s">
        <v>31</v>
      </c>
      <c r="G26" s="559" t="s">
        <v>32</v>
      </c>
      <c r="H26" s="566" t="s">
        <v>19</v>
      </c>
      <c r="I26" s="557" t="s">
        <v>31</v>
      </c>
      <c r="J26" s="559" t="s">
        <v>32</v>
      </c>
      <c r="K26" s="553" t="s">
        <v>37</v>
      </c>
    </row>
    <row r="27" spans="1:13" ht="13.5" thickBot="1" x14ac:dyDescent="0.25">
      <c r="A27" s="646"/>
      <c r="B27" s="655"/>
      <c r="C27" s="635"/>
      <c r="D27" s="634"/>
      <c r="E27" s="655"/>
      <c r="F27" s="654"/>
      <c r="G27" s="634"/>
      <c r="H27" s="636"/>
      <c r="I27" s="635"/>
      <c r="J27" s="634"/>
      <c r="K27" s="653"/>
    </row>
    <row r="28" spans="1:13" ht="14.1" customHeight="1" x14ac:dyDescent="0.2">
      <c r="A28" s="369" t="s">
        <v>7</v>
      </c>
      <c r="B28" s="368">
        <f>34564872.68+7484983.77</f>
        <v>42049856.450000003</v>
      </c>
      <c r="C28" s="367">
        <f>C40/12</f>
        <v>134936166.66666666</v>
      </c>
      <c r="D28" s="366">
        <f>B28-C28</f>
        <v>-92886310.216666654</v>
      </c>
      <c r="E28" s="365">
        <f>267116000.66+31672186.18</f>
        <v>298788186.83999997</v>
      </c>
      <c r="F28" s="362">
        <f>F40/12</f>
        <v>307690750</v>
      </c>
      <c r="G28" s="364">
        <f>E28-F28</f>
        <v>-8902563.1600000262</v>
      </c>
      <c r="H28" s="363">
        <f t="shared" ref="H28:H40" si="5">$B8+$E8+$H8+$K8+$B28+$E28</f>
        <v>516351749.89999998</v>
      </c>
      <c r="I28" s="362">
        <f>I40/12</f>
        <v>606687500</v>
      </c>
      <c r="J28" s="361">
        <f>H28-I28</f>
        <v>-90335750.100000024</v>
      </c>
      <c r="K28" s="360">
        <f>J28/I40</f>
        <v>-1.2408330771608122E-2</v>
      </c>
    </row>
    <row r="29" spans="1:13" ht="14.1" customHeight="1" x14ac:dyDescent="0.2">
      <c r="A29" s="269" t="s">
        <v>8</v>
      </c>
      <c r="B29" s="270">
        <f>6338763.26+2078423.14+B28</f>
        <v>50467042.850000001</v>
      </c>
      <c r="C29" s="253">
        <f>C28*2</f>
        <v>269872333.33333331</v>
      </c>
      <c r="D29" s="249">
        <f t="shared" ref="D29:D39" si="6">B29-C29</f>
        <v>-219405290.48333332</v>
      </c>
      <c r="E29" s="271">
        <f>389369046.81+24708440.51+E28</f>
        <v>712865674.15999997</v>
      </c>
      <c r="F29" s="254">
        <f>F28*2</f>
        <v>615381500</v>
      </c>
      <c r="G29" s="249">
        <f t="shared" ref="G29:G39" si="7">E29-F29</f>
        <v>97484174.159999967</v>
      </c>
      <c r="H29" s="256">
        <f t="shared" si="5"/>
        <v>1114106973.1500001</v>
      </c>
      <c r="I29" s="254">
        <f>I28*2</f>
        <v>1213375000</v>
      </c>
      <c r="J29" s="249">
        <f t="shared" ref="J29:J39" si="8">H29-I29</f>
        <v>-99268026.849999905</v>
      </c>
      <c r="K29" s="272">
        <f>J29/I40</f>
        <v>-1.3635249730435069E-2</v>
      </c>
    </row>
    <row r="30" spans="1:13" ht="14.1" customHeight="1" x14ac:dyDescent="0.2">
      <c r="A30" s="269" t="s">
        <v>9</v>
      </c>
      <c r="B30" s="273">
        <f>5934281.14+269903842.37+B29</f>
        <v>326305166.36000001</v>
      </c>
      <c r="C30" s="254">
        <f>C28*3</f>
        <v>404808500</v>
      </c>
      <c r="D30" s="249">
        <f t="shared" si="6"/>
        <v>-78503333.639999986</v>
      </c>
      <c r="E30" s="271">
        <f>176977276.47+17402469.5+E29</f>
        <v>907245420.13</v>
      </c>
      <c r="F30" s="254">
        <f>F28*3</f>
        <v>923072250</v>
      </c>
      <c r="G30" s="249">
        <f t="shared" si="7"/>
        <v>-15826829.870000005</v>
      </c>
      <c r="H30" s="255">
        <f t="shared" si="5"/>
        <v>1729107620.3699999</v>
      </c>
      <c r="I30" s="254">
        <f>I28*3</f>
        <v>1820062500</v>
      </c>
      <c r="J30" s="249">
        <f t="shared" si="8"/>
        <v>-90954879.630000114</v>
      </c>
      <c r="K30" s="272">
        <f>J30/I40</f>
        <v>-1.2493373116307835E-2</v>
      </c>
    </row>
    <row r="31" spans="1:13" ht="14.1" customHeight="1" x14ac:dyDescent="0.2">
      <c r="A31" s="269" t="s">
        <v>10</v>
      </c>
      <c r="B31" s="270">
        <f>63999230.94+25635326.25+B30</f>
        <v>415939723.55000001</v>
      </c>
      <c r="C31" s="253">
        <f>C28*4</f>
        <v>539744666.66666663</v>
      </c>
      <c r="D31" s="249">
        <f t="shared" si="6"/>
        <v>-123804943.11666662</v>
      </c>
      <c r="E31" s="271">
        <f>203368105.33+17289080.45+E30</f>
        <v>1127902605.9100001</v>
      </c>
      <c r="F31" s="253">
        <f>F28*4</f>
        <v>1230763000</v>
      </c>
      <c r="G31" s="249">
        <f t="shared" si="7"/>
        <v>-102860394.08999991</v>
      </c>
      <c r="H31" s="255">
        <f t="shared" si="5"/>
        <v>2159873733.4200001</v>
      </c>
      <c r="I31" s="253">
        <f>I28*4</f>
        <v>2426750000</v>
      </c>
      <c r="J31" s="249">
        <f t="shared" si="8"/>
        <v>-266876266.57999992</v>
      </c>
      <c r="K31" s="272">
        <f>J31/I40</f>
        <v>-3.6657568981834407E-2</v>
      </c>
    </row>
    <row r="32" spans="1:13" ht="14.1" customHeight="1" x14ac:dyDescent="0.2">
      <c r="A32" s="269" t="s">
        <v>11</v>
      </c>
      <c r="B32" s="273">
        <f>731003.92+B31</f>
        <v>416670727.47000003</v>
      </c>
      <c r="C32" s="253">
        <f>C28*5</f>
        <v>674680833.33333325</v>
      </c>
      <c r="D32" s="249">
        <f t="shared" si="6"/>
        <v>-258010105.86333323</v>
      </c>
      <c r="E32" s="271">
        <f>338719261.8+18559096.26+E31</f>
        <v>1485180963.97</v>
      </c>
      <c r="F32" s="253">
        <f>F28*5</f>
        <v>1538453750</v>
      </c>
      <c r="G32" s="249">
        <f t="shared" si="7"/>
        <v>-53272786.029999971</v>
      </c>
      <c r="H32" s="255">
        <f t="shared" si="5"/>
        <v>2675916672.4499998</v>
      </c>
      <c r="I32" s="253">
        <f>I28*5</f>
        <v>3033437500</v>
      </c>
      <c r="J32" s="249">
        <f t="shared" si="8"/>
        <v>-357520827.55000019</v>
      </c>
      <c r="K32" s="272">
        <f>J32/I40</f>
        <v>-4.9108317372343009E-2</v>
      </c>
    </row>
    <row r="33" spans="1:13" ht="14.1" customHeight="1" x14ac:dyDescent="0.2">
      <c r="A33" s="269" t="s">
        <v>12</v>
      </c>
      <c r="B33" s="270">
        <f>11182248.68+284402718.19+B32</f>
        <v>712255694.34000003</v>
      </c>
      <c r="C33" s="253">
        <f>C28*6</f>
        <v>809617000</v>
      </c>
      <c r="D33" s="249">
        <f t="shared" si="6"/>
        <v>-97361305.659999967</v>
      </c>
      <c r="E33" s="271">
        <f>252972112.66+8402907.37+E32</f>
        <v>1746555984</v>
      </c>
      <c r="F33" s="253">
        <f>F28*6</f>
        <v>1846144500</v>
      </c>
      <c r="G33" s="249">
        <f t="shared" si="7"/>
        <v>-99588516</v>
      </c>
      <c r="H33" s="255">
        <f t="shared" si="5"/>
        <v>3415599900.7399998</v>
      </c>
      <c r="I33" s="253">
        <f>I28*6</f>
        <v>3640125000</v>
      </c>
      <c r="J33" s="249">
        <f t="shared" si="8"/>
        <v>-224525099.26000023</v>
      </c>
      <c r="K33" s="272">
        <f>J33/I40</f>
        <v>-3.0840300712200848E-2</v>
      </c>
    </row>
    <row r="34" spans="1:13" ht="14.1" customHeight="1" x14ac:dyDescent="0.2">
      <c r="A34" s="269" t="s">
        <v>13</v>
      </c>
      <c r="B34" s="273">
        <f>170893457.2+122052210.84+B33</f>
        <v>1005201362.38</v>
      </c>
      <c r="C34" s="253">
        <f>C28*7</f>
        <v>944553166.66666663</v>
      </c>
      <c r="D34" s="249">
        <f t="shared" si="6"/>
        <v>60648195.713333368</v>
      </c>
      <c r="E34" s="271">
        <f>291290871.13+11317306.62+E33</f>
        <v>2049164161.75</v>
      </c>
      <c r="F34" s="253">
        <f>F28*7</f>
        <v>2153835250</v>
      </c>
      <c r="G34" s="249">
        <f t="shared" si="7"/>
        <v>-104671088.25</v>
      </c>
      <c r="H34" s="255">
        <f t="shared" si="5"/>
        <v>4188288399.3600001</v>
      </c>
      <c r="I34" s="253">
        <f>I28*7</f>
        <v>4246812500</v>
      </c>
      <c r="J34" s="249">
        <f t="shared" si="8"/>
        <v>-58524100.639999866</v>
      </c>
      <c r="K34" s="272">
        <f>J34/I40</f>
        <v>-8.0387487572541969E-3</v>
      </c>
    </row>
    <row r="35" spans="1:13" ht="14.1" customHeight="1" x14ac:dyDescent="0.2">
      <c r="A35" s="358" t="s">
        <v>14</v>
      </c>
      <c r="B35" s="357">
        <f t="shared" ref="B35" si="9">B34</f>
        <v>1005201362.38</v>
      </c>
      <c r="C35" s="354">
        <f>C28*8</f>
        <v>1079489333.3333333</v>
      </c>
      <c r="D35" s="353">
        <f t="shared" si="6"/>
        <v>-74287970.953333259</v>
      </c>
      <c r="E35" s="359">
        <f>376581562.72+15901331.63+E34</f>
        <v>2441647056.0999999</v>
      </c>
      <c r="F35" s="354">
        <f>F28*8</f>
        <v>2461526000</v>
      </c>
      <c r="G35" s="353">
        <f t="shared" si="7"/>
        <v>-19878943.900000095</v>
      </c>
      <c r="H35" s="355">
        <f t="shared" si="5"/>
        <v>4770871257.9400005</v>
      </c>
      <c r="I35" s="354">
        <f>I28*8</f>
        <v>4853500000</v>
      </c>
      <c r="J35" s="353">
        <f t="shared" si="8"/>
        <v>-82628742.059999466</v>
      </c>
      <c r="K35" s="352">
        <f>J35/I40</f>
        <v>-1.1349712174719201E-2</v>
      </c>
    </row>
    <row r="36" spans="1:13" ht="14.1" customHeight="1" x14ac:dyDescent="0.2">
      <c r="A36" s="269" t="s">
        <v>15</v>
      </c>
      <c r="B36" s="273">
        <f>118575134.48+B35</f>
        <v>1123776496.8599999</v>
      </c>
      <c r="C36" s="253">
        <f>C28*9</f>
        <v>1214425500</v>
      </c>
      <c r="D36" s="249">
        <f t="shared" si="6"/>
        <v>-90649003.140000105</v>
      </c>
      <c r="E36" s="271">
        <f>222304187.11+E35</f>
        <v>2663951243.21</v>
      </c>
      <c r="F36" s="253">
        <f>F28*9</f>
        <v>2769216750</v>
      </c>
      <c r="G36" s="249">
        <f t="shared" si="7"/>
        <v>-105265506.78999996</v>
      </c>
      <c r="H36" s="255">
        <f t="shared" si="5"/>
        <v>5278385450.5299997</v>
      </c>
      <c r="I36" s="253">
        <f>I28*9</f>
        <v>5460187500</v>
      </c>
      <c r="J36" s="249">
        <f t="shared" si="8"/>
        <v>-181802049.47000027</v>
      </c>
      <c r="K36" s="272">
        <f>J36/I40</f>
        <v>-2.4971951439854437E-2</v>
      </c>
    </row>
    <row r="37" spans="1:13" ht="14.1" customHeight="1" x14ac:dyDescent="0.2">
      <c r="A37" s="358" t="s">
        <v>16</v>
      </c>
      <c r="B37" s="357">
        <f>114575939.4+30035594.08+B36</f>
        <v>1268388030.3399999</v>
      </c>
      <c r="C37" s="354">
        <f>C28*10</f>
        <v>1349361666.6666665</v>
      </c>
      <c r="D37" s="353">
        <f t="shared" si="6"/>
        <v>-80973636.326666594</v>
      </c>
      <c r="E37" s="359">
        <f>247432764.91+38905116.4+E36</f>
        <v>2950289124.52</v>
      </c>
      <c r="F37" s="354">
        <f>F28*10</f>
        <v>3076907500</v>
      </c>
      <c r="G37" s="353">
        <f>E37-F37</f>
        <v>-126618375.48000002</v>
      </c>
      <c r="H37" s="355">
        <f t="shared" si="5"/>
        <v>5886334577.8299999</v>
      </c>
      <c r="I37" s="354">
        <f>I28*10</f>
        <v>6066875000</v>
      </c>
      <c r="J37" s="353">
        <f t="shared" si="8"/>
        <v>-180540422.17000008</v>
      </c>
      <c r="K37" s="352">
        <f>J37/I40</f>
        <v>-2.4798656937605176E-2</v>
      </c>
    </row>
    <row r="38" spans="1:13" ht="14.1" customHeight="1" x14ac:dyDescent="0.2">
      <c r="A38" s="269" t="s">
        <v>17</v>
      </c>
      <c r="B38" s="270">
        <f>5311229.17+5635388.08+B37</f>
        <v>1279334647.5899999</v>
      </c>
      <c r="C38" s="253">
        <f>C28*11</f>
        <v>1484297833.3333333</v>
      </c>
      <c r="D38" s="249">
        <f t="shared" si="6"/>
        <v>-204963185.74333334</v>
      </c>
      <c r="E38" s="271">
        <f>384729885.41+19867538.63+E37</f>
        <v>3354886548.5599999</v>
      </c>
      <c r="F38" s="253">
        <f>F28*11</f>
        <v>3384598250</v>
      </c>
      <c r="G38" s="249">
        <f t="shared" si="7"/>
        <v>-29711701.440000057</v>
      </c>
      <c r="H38" s="255">
        <f t="shared" si="5"/>
        <v>6481701123.7800007</v>
      </c>
      <c r="I38" s="253">
        <f>I28*11</f>
        <v>6673562500</v>
      </c>
      <c r="J38" s="249">
        <f t="shared" si="8"/>
        <v>-191861376.21999931</v>
      </c>
      <c r="K38" s="272">
        <f>J38/I40</f>
        <v>-2.6353679642869311E-2</v>
      </c>
    </row>
    <row r="39" spans="1:13" ht="14.1" customHeight="1" thickBot="1" x14ac:dyDescent="0.25">
      <c r="A39" s="340" t="s">
        <v>18</v>
      </c>
      <c r="B39" s="335">
        <f>4415446.51+217855376.21+B38</f>
        <v>1501605470.3099999</v>
      </c>
      <c r="C39" s="332">
        <f>C28*12</f>
        <v>1619234000</v>
      </c>
      <c r="D39" s="410">
        <f t="shared" si="6"/>
        <v>-117628529.69000006</v>
      </c>
      <c r="E39" s="271">
        <f>327889854.88+15909503.22+E38</f>
        <v>3698685906.6599998</v>
      </c>
      <c r="F39" s="332">
        <f>F28*12</f>
        <v>3692289000</v>
      </c>
      <c r="G39" s="249">
        <f t="shared" si="7"/>
        <v>6396906.6599998474</v>
      </c>
      <c r="H39" s="275">
        <f t="shared" si="5"/>
        <v>7259909173.1899996</v>
      </c>
      <c r="I39" s="338">
        <f>I28*12</f>
        <v>7280250000</v>
      </c>
      <c r="J39" s="411">
        <f t="shared" si="8"/>
        <v>-20340826.81000042</v>
      </c>
      <c r="K39" s="272">
        <f>J39/I40</f>
        <v>-2.7939736698602961E-3</v>
      </c>
    </row>
    <row r="40" spans="1:13" ht="15" customHeight="1" thickBot="1" x14ac:dyDescent="0.25">
      <c r="A40" s="257" t="s">
        <v>19</v>
      </c>
      <c r="B40" s="347">
        <f>B39</f>
        <v>1501605470.3099999</v>
      </c>
      <c r="C40" s="276">
        <v>1619234000</v>
      </c>
      <c r="D40" s="277"/>
      <c r="E40" s="345">
        <f>E39</f>
        <v>3698685906.6599998</v>
      </c>
      <c r="F40" s="258">
        <v>3692289000</v>
      </c>
      <c r="G40" s="278"/>
      <c r="H40" s="351">
        <f t="shared" si="5"/>
        <v>7259909173.1899996</v>
      </c>
      <c r="I40" s="279">
        <f>C20+F20+I20+L20+C40+F40</f>
        <v>7280250000</v>
      </c>
      <c r="J40" s="280"/>
      <c r="K40" s="350"/>
    </row>
    <row r="41" spans="1:13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3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4">
    <mergeCell ref="I6:I7"/>
    <mergeCell ref="J6:J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H6:H7"/>
    <mergeCell ref="K26:K27"/>
    <mergeCell ref="A42:M42"/>
    <mergeCell ref="E26:E27"/>
    <mergeCell ref="F26:F27"/>
    <mergeCell ref="G26:G27"/>
    <mergeCell ref="H26:H27"/>
    <mergeCell ref="I26:I27"/>
    <mergeCell ref="J26:J27"/>
    <mergeCell ref="A24:A27"/>
    <mergeCell ref="B24:D25"/>
    <mergeCell ref="E24:G25"/>
    <mergeCell ref="H24:J25"/>
    <mergeCell ref="B26:B2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3">
    <tabColor theme="5" tint="-0.499984740745262"/>
    <pageSetUpPr fitToPage="1"/>
  </sheetPr>
  <dimension ref="A1:M48"/>
  <sheetViews>
    <sheetView showGridLines="0" zoomScaleNormal="100" workbookViewId="0">
      <pane xSplit="1" ySplit="2" topLeftCell="B3" activePane="bottomRight" state="frozen"/>
      <selection sqref="A1:S1"/>
      <selection pane="topRight" sqref="A1:S1"/>
      <selection pane="bottomLeft" sqref="A1:S1"/>
      <selection pane="bottomRight" sqref="A1:S1"/>
    </sheetView>
  </sheetViews>
  <sheetFormatPr defaultRowHeight="12.75" x14ac:dyDescent="0.2"/>
  <cols>
    <col min="1" max="1" width="8.7109375" style="1" customWidth="1"/>
    <col min="2" max="13" width="12.5703125" style="1" customWidth="1"/>
    <col min="14" max="14" width="9.7109375" style="1" customWidth="1"/>
    <col min="15" max="15" width="12.42578125" style="1" customWidth="1"/>
    <col min="16" max="17" width="9.7109375" style="1" customWidth="1"/>
    <col min="18" max="18" width="11" style="1" customWidth="1"/>
    <col min="19" max="255" width="9.140625" style="1"/>
    <col min="256" max="256" width="8.7109375" style="1" customWidth="1"/>
    <col min="257" max="257" width="13.5703125" style="1" bestFit="1" customWidth="1"/>
    <col min="258" max="259" width="12.140625" style="1" customWidth="1"/>
    <col min="260" max="260" width="13.140625" style="1" bestFit="1" customWidth="1"/>
    <col min="261" max="262" width="12.140625" style="1" customWidth="1"/>
    <col min="263" max="263" width="13.140625" style="1" bestFit="1" customWidth="1"/>
    <col min="264" max="265" width="12.140625" style="1" customWidth="1"/>
    <col min="266" max="266" width="13.140625" style="1" bestFit="1" customWidth="1"/>
    <col min="267" max="268" width="12.140625" style="1" customWidth="1"/>
    <col min="269" max="269" width="10.85546875" style="1" customWidth="1"/>
    <col min="270" max="270" width="9.7109375" style="1" customWidth="1"/>
    <col min="271" max="271" width="12.42578125" style="1" customWidth="1"/>
    <col min="272" max="273" width="9.7109375" style="1" customWidth="1"/>
    <col min="274" max="274" width="11" style="1" customWidth="1"/>
    <col min="275" max="511" width="9.140625" style="1"/>
    <col min="512" max="512" width="8.7109375" style="1" customWidth="1"/>
    <col min="513" max="513" width="13.5703125" style="1" bestFit="1" customWidth="1"/>
    <col min="514" max="515" width="12.140625" style="1" customWidth="1"/>
    <col min="516" max="516" width="13.140625" style="1" bestFit="1" customWidth="1"/>
    <col min="517" max="518" width="12.140625" style="1" customWidth="1"/>
    <col min="519" max="519" width="13.140625" style="1" bestFit="1" customWidth="1"/>
    <col min="520" max="521" width="12.140625" style="1" customWidth="1"/>
    <col min="522" max="522" width="13.140625" style="1" bestFit="1" customWidth="1"/>
    <col min="523" max="524" width="12.140625" style="1" customWidth="1"/>
    <col min="525" max="525" width="10.85546875" style="1" customWidth="1"/>
    <col min="526" max="526" width="9.7109375" style="1" customWidth="1"/>
    <col min="527" max="527" width="12.42578125" style="1" customWidth="1"/>
    <col min="528" max="529" width="9.7109375" style="1" customWidth="1"/>
    <col min="530" max="530" width="11" style="1" customWidth="1"/>
    <col min="531" max="767" width="9.140625" style="1"/>
    <col min="768" max="768" width="8.7109375" style="1" customWidth="1"/>
    <col min="769" max="769" width="13.5703125" style="1" bestFit="1" customWidth="1"/>
    <col min="770" max="771" width="12.140625" style="1" customWidth="1"/>
    <col min="772" max="772" width="13.140625" style="1" bestFit="1" customWidth="1"/>
    <col min="773" max="774" width="12.140625" style="1" customWidth="1"/>
    <col min="775" max="775" width="13.140625" style="1" bestFit="1" customWidth="1"/>
    <col min="776" max="777" width="12.140625" style="1" customWidth="1"/>
    <col min="778" max="778" width="13.140625" style="1" bestFit="1" customWidth="1"/>
    <col min="779" max="780" width="12.140625" style="1" customWidth="1"/>
    <col min="781" max="781" width="10.85546875" style="1" customWidth="1"/>
    <col min="782" max="782" width="9.7109375" style="1" customWidth="1"/>
    <col min="783" max="783" width="12.42578125" style="1" customWidth="1"/>
    <col min="784" max="785" width="9.7109375" style="1" customWidth="1"/>
    <col min="786" max="786" width="11" style="1" customWidth="1"/>
    <col min="787" max="1023" width="9.140625" style="1"/>
    <col min="1024" max="1024" width="8.7109375" style="1" customWidth="1"/>
    <col min="1025" max="1025" width="13.5703125" style="1" bestFit="1" customWidth="1"/>
    <col min="1026" max="1027" width="12.140625" style="1" customWidth="1"/>
    <col min="1028" max="1028" width="13.140625" style="1" bestFit="1" customWidth="1"/>
    <col min="1029" max="1030" width="12.140625" style="1" customWidth="1"/>
    <col min="1031" max="1031" width="13.140625" style="1" bestFit="1" customWidth="1"/>
    <col min="1032" max="1033" width="12.140625" style="1" customWidth="1"/>
    <col min="1034" max="1034" width="13.140625" style="1" bestFit="1" customWidth="1"/>
    <col min="1035" max="1036" width="12.140625" style="1" customWidth="1"/>
    <col min="1037" max="1037" width="10.85546875" style="1" customWidth="1"/>
    <col min="1038" max="1038" width="9.7109375" style="1" customWidth="1"/>
    <col min="1039" max="1039" width="12.42578125" style="1" customWidth="1"/>
    <col min="1040" max="1041" width="9.7109375" style="1" customWidth="1"/>
    <col min="1042" max="1042" width="11" style="1" customWidth="1"/>
    <col min="1043" max="1279" width="9.140625" style="1"/>
    <col min="1280" max="1280" width="8.7109375" style="1" customWidth="1"/>
    <col min="1281" max="1281" width="13.5703125" style="1" bestFit="1" customWidth="1"/>
    <col min="1282" max="1283" width="12.140625" style="1" customWidth="1"/>
    <col min="1284" max="1284" width="13.140625" style="1" bestFit="1" customWidth="1"/>
    <col min="1285" max="1286" width="12.140625" style="1" customWidth="1"/>
    <col min="1287" max="1287" width="13.140625" style="1" bestFit="1" customWidth="1"/>
    <col min="1288" max="1289" width="12.140625" style="1" customWidth="1"/>
    <col min="1290" max="1290" width="13.140625" style="1" bestFit="1" customWidth="1"/>
    <col min="1291" max="1292" width="12.140625" style="1" customWidth="1"/>
    <col min="1293" max="1293" width="10.85546875" style="1" customWidth="1"/>
    <col min="1294" max="1294" width="9.7109375" style="1" customWidth="1"/>
    <col min="1295" max="1295" width="12.42578125" style="1" customWidth="1"/>
    <col min="1296" max="1297" width="9.7109375" style="1" customWidth="1"/>
    <col min="1298" max="1298" width="11" style="1" customWidth="1"/>
    <col min="1299" max="1535" width="9.140625" style="1"/>
    <col min="1536" max="1536" width="8.7109375" style="1" customWidth="1"/>
    <col min="1537" max="1537" width="13.5703125" style="1" bestFit="1" customWidth="1"/>
    <col min="1538" max="1539" width="12.140625" style="1" customWidth="1"/>
    <col min="1540" max="1540" width="13.140625" style="1" bestFit="1" customWidth="1"/>
    <col min="1541" max="1542" width="12.140625" style="1" customWidth="1"/>
    <col min="1543" max="1543" width="13.140625" style="1" bestFit="1" customWidth="1"/>
    <col min="1544" max="1545" width="12.140625" style="1" customWidth="1"/>
    <col min="1546" max="1546" width="13.140625" style="1" bestFit="1" customWidth="1"/>
    <col min="1547" max="1548" width="12.140625" style="1" customWidth="1"/>
    <col min="1549" max="1549" width="10.85546875" style="1" customWidth="1"/>
    <col min="1550" max="1550" width="9.7109375" style="1" customWidth="1"/>
    <col min="1551" max="1551" width="12.42578125" style="1" customWidth="1"/>
    <col min="1552" max="1553" width="9.7109375" style="1" customWidth="1"/>
    <col min="1554" max="1554" width="11" style="1" customWidth="1"/>
    <col min="1555" max="1791" width="9.140625" style="1"/>
    <col min="1792" max="1792" width="8.7109375" style="1" customWidth="1"/>
    <col min="1793" max="1793" width="13.5703125" style="1" bestFit="1" customWidth="1"/>
    <col min="1794" max="1795" width="12.140625" style="1" customWidth="1"/>
    <col min="1796" max="1796" width="13.140625" style="1" bestFit="1" customWidth="1"/>
    <col min="1797" max="1798" width="12.140625" style="1" customWidth="1"/>
    <col min="1799" max="1799" width="13.140625" style="1" bestFit="1" customWidth="1"/>
    <col min="1800" max="1801" width="12.140625" style="1" customWidth="1"/>
    <col min="1802" max="1802" width="13.140625" style="1" bestFit="1" customWidth="1"/>
    <col min="1803" max="1804" width="12.140625" style="1" customWidth="1"/>
    <col min="1805" max="1805" width="10.85546875" style="1" customWidth="1"/>
    <col min="1806" max="1806" width="9.7109375" style="1" customWidth="1"/>
    <col min="1807" max="1807" width="12.42578125" style="1" customWidth="1"/>
    <col min="1808" max="1809" width="9.7109375" style="1" customWidth="1"/>
    <col min="1810" max="1810" width="11" style="1" customWidth="1"/>
    <col min="1811" max="2047" width="9.140625" style="1"/>
    <col min="2048" max="2048" width="8.7109375" style="1" customWidth="1"/>
    <col min="2049" max="2049" width="13.5703125" style="1" bestFit="1" customWidth="1"/>
    <col min="2050" max="2051" width="12.140625" style="1" customWidth="1"/>
    <col min="2052" max="2052" width="13.140625" style="1" bestFit="1" customWidth="1"/>
    <col min="2053" max="2054" width="12.140625" style="1" customWidth="1"/>
    <col min="2055" max="2055" width="13.140625" style="1" bestFit="1" customWidth="1"/>
    <col min="2056" max="2057" width="12.140625" style="1" customWidth="1"/>
    <col min="2058" max="2058" width="13.140625" style="1" bestFit="1" customWidth="1"/>
    <col min="2059" max="2060" width="12.140625" style="1" customWidth="1"/>
    <col min="2061" max="2061" width="10.85546875" style="1" customWidth="1"/>
    <col min="2062" max="2062" width="9.7109375" style="1" customWidth="1"/>
    <col min="2063" max="2063" width="12.42578125" style="1" customWidth="1"/>
    <col min="2064" max="2065" width="9.7109375" style="1" customWidth="1"/>
    <col min="2066" max="2066" width="11" style="1" customWidth="1"/>
    <col min="2067" max="2303" width="9.140625" style="1"/>
    <col min="2304" max="2304" width="8.7109375" style="1" customWidth="1"/>
    <col min="2305" max="2305" width="13.5703125" style="1" bestFit="1" customWidth="1"/>
    <col min="2306" max="2307" width="12.140625" style="1" customWidth="1"/>
    <col min="2308" max="2308" width="13.140625" style="1" bestFit="1" customWidth="1"/>
    <col min="2309" max="2310" width="12.140625" style="1" customWidth="1"/>
    <col min="2311" max="2311" width="13.140625" style="1" bestFit="1" customWidth="1"/>
    <col min="2312" max="2313" width="12.140625" style="1" customWidth="1"/>
    <col min="2314" max="2314" width="13.140625" style="1" bestFit="1" customWidth="1"/>
    <col min="2315" max="2316" width="12.140625" style="1" customWidth="1"/>
    <col min="2317" max="2317" width="10.85546875" style="1" customWidth="1"/>
    <col min="2318" max="2318" width="9.7109375" style="1" customWidth="1"/>
    <col min="2319" max="2319" width="12.42578125" style="1" customWidth="1"/>
    <col min="2320" max="2321" width="9.7109375" style="1" customWidth="1"/>
    <col min="2322" max="2322" width="11" style="1" customWidth="1"/>
    <col min="2323" max="2559" width="9.140625" style="1"/>
    <col min="2560" max="2560" width="8.7109375" style="1" customWidth="1"/>
    <col min="2561" max="2561" width="13.5703125" style="1" bestFit="1" customWidth="1"/>
    <col min="2562" max="2563" width="12.140625" style="1" customWidth="1"/>
    <col min="2564" max="2564" width="13.140625" style="1" bestFit="1" customWidth="1"/>
    <col min="2565" max="2566" width="12.140625" style="1" customWidth="1"/>
    <col min="2567" max="2567" width="13.140625" style="1" bestFit="1" customWidth="1"/>
    <col min="2568" max="2569" width="12.140625" style="1" customWidth="1"/>
    <col min="2570" max="2570" width="13.140625" style="1" bestFit="1" customWidth="1"/>
    <col min="2571" max="2572" width="12.140625" style="1" customWidth="1"/>
    <col min="2573" max="2573" width="10.85546875" style="1" customWidth="1"/>
    <col min="2574" max="2574" width="9.7109375" style="1" customWidth="1"/>
    <col min="2575" max="2575" width="12.42578125" style="1" customWidth="1"/>
    <col min="2576" max="2577" width="9.7109375" style="1" customWidth="1"/>
    <col min="2578" max="2578" width="11" style="1" customWidth="1"/>
    <col min="2579" max="2815" width="9.140625" style="1"/>
    <col min="2816" max="2816" width="8.7109375" style="1" customWidth="1"/>
    <col min="2817" max="2817" width="13.5703125" style="1" bestFit="1" customWidth="1"/>
    <col min="2818" max="2819" width="12.140625" style="1" customWidth="1"/>
    <col min="2820" max="2820" width="13.140625" style="1" bestFit="1" customWidth="1"/>
    <col min="2821" max="2822" width="12.140625" style="1" customWidth="1"/>
    <col min="2823" max="2823" width="13.140625" style="1" bestFit="1" customWidth="1"/>
    <col min="2824" max="2825" width="12.140625" style="1" customWidth="1"/>
    <col min="2826" max="2826" width="13.140625" style="1" bestFit="1" customWidth="1"/>
    <col min="2827" max="2828" width="12.140625" style="1" customWidth="1"/>
    <col min="2829" max="2829" width="10.85546875" style="1" customWidth="1"/>
    <col min="2830" max="2830" width="9.7109375" style="1" customWidth="1"/>
    <col min="2831" max="2831" width="12.42578125" style="1" customWidth="1"/>
    <col min="2832" max="2833" width="9.7109375" style="1" customWidth="1"/>
    <col min="2834" max="2834" width="11" style="1" customWidth="1"/>
    <col min="2835" max="3071" width="9.140625" style="1"/>
    <col min="3072" max="3072" width="8.7109375" style="1" customWidth="1"/>
    <col min="3073" max="3073" width="13.5703125" style="1" bestFit="1" customWidth="1"/>
    <col min="3074" max="3075" width="12.140625" style="1" customWidth="1"/>
    <col min="3076" max="3076" width="13.140625" style="1" bestFit="1" customWidth="1"/>
    <col min="3077" max="3078" width="12.140625" style="1" customWidth="1"/>
    <col min="3079" max="3079" width="13.140625" style="1" bestFit="1" customWidth="1"/>
    <col min="3080" max="3081" width="12.140625" style="1" customWidth="1"/>
    <col min="3082" max="3082" width="13.140625" style="1" bestFit="1" customWidth="1"/>
    <col min="3083" max="3084" width="12.140625" style="1" customWidth="1"/>
    <col min="3085" max="3085" width="10.85546875" style="1" customWidth="1"/>
    <col min="3086" max="3086" width="9.7109375" style="1" customWidth="1"/>
    <col min="3087" max="3087" width="12.42578125" style="1" customWidth="1"/>
    <col min="3088" max="3089" width="9.7109375" style="1" customWidth="1"/>
    <col min="3090" max="3090" width="11" style="1" customWidth="1"/>
    <col min="3091" max="3327" width="9.140625" style="1"/>
    <col min="3328" max="3328" width="8.7109375" style="1" customWidth="1"/>
    <col min="3329" max="3329" width="13.5703125" style="1" bestFit="1" customWidth="1"/>
    <col min="3330" max="3331" width="12.140625" style="1" customWidth="1"/>
    <col min="3332" max="3332" width="13.140625" style="1" bestFit="1" customWidth="1"/>
    <col min="3333" max="3334" width="12.140625" style="1" customWidth="1"/>
    <col min="3335" max="3335" width="13.140625" style="1" bestFit="1" customWidth="1"/>
    <col min="3336" max="3337" width="12.140625" style="1" customWidth="1"/>
    <col min="3338" max="3338" width="13.140625" style="1" bestFit="1" customWidth="1"/>
    <col min="3339" max="3340" width="12.140625" style="1" customWidth="1"/>
    <col min="3341" max="3341" width="10.85546875" style="1" customWidth="1"/>
    <col min="3342" max="3342" width="9.7109375" style="1" customWidth="1"/>
    <col min="3343" max="3343" width="12.42578125" style="1" customWidth="1"/>
    <col min="3344" max="3345" width="9.7109375" style="1" customWidth="1"/>
    <col min="3346" max="3346" width="11" style="1" customWidth="1"/>
    <col min="3347" max="3583" width="9.140625" style="1"/>
    <col min="3584" max="3584" width="8.7109375" style="1" customWidth="1"/>
    <col min="3585" max="3585" width="13.5703125" style="1" bestFit="1" customWidth="1"/>
    <col min="3586" max="3587" width="12.140625" style="1" customWidth="1"/>
    <col min="3588" max="3588" width="13.140625" style="1" bestFit="1" customWidth="1"/>
    <col min="3589" max="3590" width="12.140625" style="1" customWidth="1"/>
    <col min="3591" max="3591" width="13.140625" style="1" bestFit="1" customWidth="1"/>
    <col min="3592" max="3593" width="12.140625" style="1" customWidth="1"/>
    <col min="3594" max="3594" width="13.140625" style="1" bestFit="1" customWidth="1"/>
    <col min="3595" max="3596" width="12.140625" style="1" customWidth="1"/>
    <col min="3597" max="3597" width="10.85546875" style="1" customWidth="1"/>
    <col min="3598" max="3598" width="9.7109375" style="1" customWidth="1"/>
    <col min="3599" max="3599" width="12.42578125" style="1" customWidth="1"/>
    <col min="3600" max="3601" width="9.7109375" style="1" customWidth="1"/>
    <col min="3602" max="3602" width="11" style="1" customWidth="1"/>
    <col min="3603" max="3839" width="9.140625" style="1"/>
    <col min="3840" max="3840" width="8.7109375" style="1" customWidth="1"/>
    <col min="3841" max="3841" width="13.5703125" style="1" bestFit="1" customWidth="1"/>
    <col min="3842" max="3843" width="12.140625" style="1" customWidth="1"/>
    <col min="3844" max="3844" width="13.140625" style="1" bestFit="1" customWidth="1"/>
    <col min="3845" max="3846" width="12.140625" style="1" customWidth="1"/>
    <col min="3847" max="3847" width="13.140625" style="1" bestFit="1" customWidth="1"/>
    <col min="3848" max="3849" width="12.140625" style="1" customWidth="1"/>
    <col min="3850" max="3850" width="13.140625" style="1" bestFit="1" customWidth="1"/>
    <col min="3851" max="3852" width="12.140625" style="1" customWidth="1"/>
    <col min="3853" max="3853" width="10.85546875" style="1" customWidth="1"/>
    <col min="3854" max="3854" width="9.7109375" style="1" customWidth="1"/>
    <col min="3855" max="3855" width="12.42578125" style="1" customWidth="1"/>
    <col min="3856" max="3857" width="9.7109375" style="1" customWidth="1"/>
    <col min="3858" max="3858" width="11" style="1" customWidth="1"/>
    <col min="3859" max="4095" width="9.140625" style="1"/>
    <col min="4096" max="4096" width="8.7109375" style="1" customWidth="1"/>
    <col min="4097" max="4097" width="13.5703125" style="1" bestFit="1" customWidth="1"/>
    <col min="4098" max="4099" width="12.140625" style="1" customWidth="1"/>
    <col min="4100" max="4100" width="13.140625" style="1" bestFit="1" customWidth="1"/>
    <col min="4101" max="4102" width="12.140625" style="1" customWidth="1"/>
    <col min="4103" max="4103" width="13.140625" style="1" bestFit="1" customWidth="1"/>
    <col min="4104" max="4105" width="12.140625" style="1" customWidth="1"/>
    <col min="4106" max="4106" width="13.140625" style="1" bestFit="1" customWidth="1"/>
    <col min="4107" max="4108" width="12.140625" style="1" customWidth="1"/>
    <col min="4109" max="4109" width="10.85546875" style="1" customWidth="1"/>
    <col min="4110" max="4110" width="9.7109375" style="1" customWidth="1"/>
    <col min="4111" max="4111" width="12.42578125" style="1" customWidth="1"/>
    <col min="4112" max="4113" width="9.7109375" style="1" customWidth="1"/>
    <col min="4114" max="4114" width="11" style="1" customWidth="1"/>
    <col min="4115" max="4351" width="9.140625" style="1"/>
    <col min="4352" max="4352" width="8.7109375" style="1" customWidth="1"/>
    <col min="4353" max="4353" width="13.5703125" style="1" bestFit="1" customWidth="1"/>
    <col min="4354" max="4355" width="12.140625" style="1" customWidth="1"/>
    <col min="4356" max="4356" width="13.140625" style="1" bestFit="1" customWidth="1"/>
    <col min="4357" max="4358" width="12.140625" style="1" customWidth="1"/>
    <col min="4359" max="4359" width="13.140625" style="1" bestFit="1" customWidth="1"/>
    <col min="4360" max="4361" width="12.140625" style="1" customWidth="1"/>
    <col min="4362" max="4362" width="13.140625" style="1" bestFit="1" customWidth="1"/>
    <col min="4363" max="4364" width="12.140625" style="1" customWidth="1"/>
    <col min="4365" max="4365" width="10.85546875" style="1" customWidth="1"/>
    <col min="4366" max="4366" width="9.7109375" style="1" customWidth="1"/>
    <col min="4367" max="4367" width="12.42578125" style="1" customWidth="1"/>
    <col min="4368" max="4369" width="9.7109375" style="1" customWidth="1"/>
    <col min="4370" max="4370" width="11" style="1" customWidth="1"/>
    <col min="4371" max="4607" width="9.140625" style="1"/>
    <col min="4608" max="4608" width="8.7109375" style="1" customWidth="1"/>
    <col min="4609" max="4609" width="13.5703125" style="1" bestFit="1" customWidth="1"/>
    <col min="4610" max="4611" width="12.140625" style="1" customWidth="1"/>
    <col min="4612" max="4612" width="13.140625" style="1" bestFit="1" customWidth="1"/>
    <col min="4613" max="4614" width="12.140625" style="1" customWidth="1"/>
    <col min="4615" max="4615" width="13.140625" style="1" bestFit="1" customWidth="1"/>
    <col min="4616" max="4617" width="12.140625" style="1" customWidth="1"/>
    <col min="4618" max="4618" width="13.140625" style="1" bestFit="1" customWidth="1"/>
    <col min="4619" max="4620" width="12.140625" style="1" customWidth="1"/>
    <col min="4621" max="4621" width="10.85546875" style="1" customWidth="1"/>
    <col min="4622" max="4622" width="9.7109375" style="1" customWidth="1"/>
    <col min="4623" max="4623" width="12.42578125" style="1" customWidth="1"/>
    <col min="4624" max="4625" width="9.7109375" style="1" customWidth="1"/>
    <col min="4626" max="4626" width="11" style="1" customWidth="1"/>
    <col min="4627" max="4863" width="9.140625" style="1"/>
    <col min="4864" max="4864" width="8.7109375" style="1" customWidth="1"/>
    <col min="4865" max="4865" width="13.5703125" style="1" bestFit="1" customWidth="1"/>
    <col min="4866" max="4867" width="12.140625" style="1" customWidth="1"/>
    <col min="4868" max="4868" width="13.140625" style="1" bestFit="1" customWidth="1"/>
    <col min="4869" max="4870" width="12.140625" style="1" customWidth="1"/>
    <col min="4871" max="4871" width="13.140625" style="1" bestFit="1" customWidth="1"/>
    <col min="4872" max="4873" width="12.140625" style="1" customWidth="1"/>
    <col min="4874" max="4874" width="13.140625" style="1" bestFit="1" customWidth="1"/>
    <col min="4875" max="4876" width="12.140625" style="1" customWidth="1"/>
    <col min="4877" max="4877" width="10.85546875" style="1" customWidth="1"/>
    <col min="4878" max="4878" width="9.7109375" style="1" customWidth="1"/>
    <col min="4879" max="4879" width="12.42578125" style="1" customWidth="1"/>
    <col min="4880" max="4881" width="9.7109375" style="1" customWidth="1"/>
    <col min="4882" max="4882" width="11" style="1" customWidth="1"/>
    <col min="4883" max="5119" width="9.140625" style="1"/>
    <col min="5120" max="5120" width="8.7109375" style="1" customWidth="1"/>
    <col min="5121" max="5121" width="13.5703125" style="1" bestFit="1" customWidth="1"/>
    <col min="5122" max="5123" width="12.140625" style="1" customWidth="1"/>
    <col min="5124" max="5124" width="13.140625" style="1" bestFit="1" customWidth="1"/>
    <col min="5125" max="5126" width="12.140625" style="1" customWidth="1"/>
    <col min="5127" max="5127" width="13.140625" style="1" bestFit="1" customWidth="1"/>
    <col min="5128" max="5129" width="12.140625" style="1" customWidth="1"/>
    <col min="5130" max="5130" width="13.140625" style="1" bestFit="1" customWidth="1"/>
    <col min="5131" max="5132" width="12.140625" style="1" customWidth="1"/>
    <col min="5133" max="5133" width="10.85546875" style="1" customWidth="1"/>
    <col min="5134" max="5134" width="9.7109375" style="1" customWidth="1"/>
    <col min="5135" max="5135" width="12.42578125" style="1" customWidth="1"/>
    <col min="5136" max="5137" width="9.7109375" style="1" customWidth="1"/>
    <col min="5138" max="5138" width="11" style="1" customWidth="1"/>
    <col min="5139" max="5375" width="9.140625" style="1"/>
    <col min="5376" max="5376" width="8.7109375" style="1" customWidth="1"/>
    <col min="5377" max="5377" width="13.5703125" style="1" bestFit="1" customWidth="1"/>
    <col min="5378" max="5379" width="12.140625" style="1" customWidth="1"/>
    <col min="5380" max="5380" width="13.140625" style="1" bestFit="1" customWidth="1"/>
    <col min="5381" max="5382" width="12.140625" style="1" customWidth="1"/>
    <col min="5383" max="5383" width="13.140625" style="1" bestFit="1" customWidth="1"/>
    <col min="5384" max="5385" width="12.140625" style="1" customWidth="1"/>
    <col min="5386" max="5386" width="13.140625" style="1" bestFit="1" customWidth="1"/>
    <col min="5387" max="5388" width="12.140625" style="1" customWidth="1"/>
    <col min="5389" max="5389" width="10.85546875" style="1" customWidth="1"/>
    <col min="5390" max="5390" width="9.7109375" style="1" customWidth="1"/>
    <col min="5391" max="5391" width="12.42578125" style="1" customWidth="1"/>
    <col min="5392" max="5393" width="9.7109375" style="1" customWidth="1"/>
    <col min="5394" max="5394" width="11" style="1" customWidth="1"/>
    <col min="5395" max="5631" width="9.140625" style="1"/>
    <col min="5632" max="5632" width="8.7109375" style="1" customWidth="1"/>
    <col min="5633" max="5633" width="13.5703125" style="1" bestFit="1" customWidth="1"/>
    <col min="5634" max="5635" width="12.140625" style="1" customWidth="1"/>
    <col min="5636" max="5636" width="13.140625" style="1" bestFit="1" customWidth="1"/>
    <col min="5637" max="5638" width="12.140625" style="1" customWidth="1"/>
    <col min="5639" max="5639" width="13.140625" style="1" bestFit="1" customWidth="1"/>
    <col min="5640" max="5641" width="12.140625" style="1" customWidth="1"/>
    <col min="5642" max="5642" width="13.140625" style="1" bestFit="1" customWidth="1"/>
    <col min="5643" max="5644" width="12.140625" style="1" customWidth="1"/>
    <col min="5645" max="5645" width="10.85546875" style="1" customWidth="1"/>
    <col min="5646" max="5646" width="9.7109375" style="1" customWidth="1"/>
    <col min="5647" max="5647" width="12.42578125" style="1" customWidth="1"/>
    <col min="5648" max="5649" width="9.7109375" style="1" customWidth="1"/>
    <col min="5650" max="5650" width="11" style="1" customWidth="1"/>
    <col min="5651" max="5887" width="9.140625" style="1"/>
    <col min="5888" max="5888" width="8.7109375" style="1" customWidth="1"/>
    <col min="5889" max="5889" width="13.5703125" style="1" bestFit="1" customWidth="1"/>
    <col min="5890" max="5891" width="12.140625" style="1" customWidth="1"/>
    <col min="5892" max="5892" width="13.140625" style="1" bestFit="1" customWidth="1"/>
    <col min="5893" max="5894" width="12.140625" style="1" customWidth="1"/>
    <col min="5895" max="5895" width="13.140625" style="1" bestFit="1" customWidth="1"/>
    <col min="5896" max="5897" width="12.140625" style="1" customWidth="1"/>
    <col min="5898" max="5898" width="13.140625" style="1" bestFit="1" customWidth="1"/>
    <col min="5899" max="5900" width="12.140625" style="1" customWidth="1"/>
    <col min="5901" max="5901" width="10.85546875" style="1" customWidth="1"/>
    <col min="5902" max="5902" width="9.7109375" style="1" customWidth="1"/>
    <col min="5903" max="5903" width="12.42578125" style="1" customWidth="1"/>
    <col min="5904" max="5905" width="9.7109375" style="1" customWidth="1"/>
    <col min="5906" max="5906" width="11" style="1" customWidth="1"/>
    <col min="5907" max="6143" width="9.140625" style="1"/>
    <col min="6144" max="6144" width="8.7109375" style="1" customWidth="1"/>
    <col min="6145" max="6145" width="13.5703125" style="1" bestFit="1" customWidth="1"/>
    <col min="6146" max="6147" width="12.140625" style="1" customWidth="1"/>
    <col min="6148" max="6148" width="13.140625" style="1" bestFit="1" customWidth="1"/>
    <col min="6149" max="6150" width="12.140625" style="1" customWidth="1"/>
    <col min="6151" max="6151" width="13.140625" style="1" bestFit="1" customWidth="1"/>
    <col min="6152" max="6153" width="12.140625" style="1" customWidth="1"/>
    <col min="6154" max="6154" width="13.140625" style="1" bestFit="1" customWidth="1"/>
    <col min="6155" max="6156" width="12.140625" style="1" customWidth="1"/>
    <col min="6157" max="6157" width="10.85546875" style="1" customWidth="1"/>
    <col min="6158" max="6158" width="9.7109375" style="1" customWidth="1"/>
    <col min="6159" max="6159" width="12.42578125" style="1" customWidth="1"/>
    <col min="6160" max="6161" width="9.7109375" style="1" customWidth="1"/>
    <col min="6162" max="6162" width="11" style="1" customWidth="1"/>
    <col min="6163" max="6399" width="9.140625" style="1"/>
    <col min="6400" max="6400" width="8.7109375" style="1" customWidth="1"/>
    <col min="6401" max="6401" width="13.5703125" style="1" bestFit="1" customWidth="1"/>
    <col min="6402" max="6403" width="12.140625" style="1" customWidth="1"/>
    <col min="6404" max="6404" width="13.140625" style="1" bestFit="1" customWidth="1"/>
    <col min="6405" max="6406" width="12.140625" style="1" customWidth="1"/>
    <col min="6407" max="6407" width="13.140625" style="1" bestFit="1" customWidth="1"/>
    <col min="6408" max="6409" width="12.140625" style="1" customWidth="1"/>
    <col min="6410" max="6410" width="13.140625" style="1" bestFit="1" customWidth="1"/>
    <col min="6411" max="6412" width="12.140625" style="1" customWidth="1"/>
    <col min="6413" max="6413" width="10.85546875" style="1" customWidth="1"/>
    <col min="6414" max="6414" width="9.7109375" style="1" customWidth="1"/>
    <col min="6415" max="6415" width="12.42578125" style="1" customWidth="1"/>
    <col min="6416" max="6417" width="9.7109375" style="1" customWidth="1"/>
    <col min="6418" max="6418" width="11" style="1" customWidth="1"/>
    <col min="6419" max="6655" width="9.140625" style="1"/>
    <col min="6656" max="6656" width="8.7109375" style="1" customWidth="1"/>
    <col min="6657" max="6657" width="13.5703125" style="1" bestFit="1" customWidth="1"/>
    <col min="6658" max="6659" width="12.140625" style="1" customWidth="1"/>
    <col min="6660" max="6660" width="13.140625" style="1" bestFit="1" customWidth="1"/>
    <col min="6661" max="6662" width="12.140625" style="1" customWidth="1"/>
    <col min="6663" max="6663" width="13.140625" style="1" bestFit="1" customWidth="1"/>
    <col min="6664" max="6665" width="12.140625" style="1" customWidth="1"/>
    <col min="6666" max="6666" width="13.140625" style="1" bestFit="1" customWidth="1"/>
    <col min="6667" max="6668" width="12.140625" style="1" customWidth="1"/>
    <col min="6669" max="6669" width="10.85546875" style="1" customWidth="1"/>
    <col min="6670" max="6670" width="9.7109375" style="1" customWidth="1"/>
    <col min="6671" max="6671" width="12.42578125" style="1" customWidth="1"/>
    <col min="6672" max="6673" width="9.7109375" style="1" customWidth="1"/>
    <col min="6674" max="6674" width="11" style="1" customWidth="1"/>
    <col min="6675" max="6911" width="9.140625" style="1"/>
    <col min="6912" max="6912" width="8.7109375" style="1" customWidth="1"/>
    <col min="6913" max="6913" width="13.5703125" style="1" bestFit="1" customWidth="1"/>
    <col min="6914" max="6915" width="12.140625" style="1" customWidth="1"/>
    <col min="6916" max="6916" width="13.140625" style="1" bestFit="1" customWidth="1"/>
    <col min="6917" max="6918" width="12.140625" style="1" customWidth="1"/>
    <col min="6919" max="6919" width="13.140625" style="1" bestFit="1" customWidth="1"/>
    <col min="6920" max="6921" width="12.140625" style="1" customWidth="1"/>
    <col min="6922" max="6922" width="13.140625" style="1" bestFit="1" customWidth="1"/>
    <col min="6923" max="6924" width="12.140625" style="1" customWidth="1"/>
    <col min="6925" max="6925" width="10.85546875" style="1" customWidth="1"/>
    <col min="6926" max="6926" width="9.7109375" style="1" customWidth="1"/>
    <col min="6927" max="6927" width="12.42578125" style="1" customWidth="1"/>
    <col min="6928" max="6929" width="9.7109375" style="1" customWidth="1"/>
    <col min="6930" max="6930" width="11" style="1" customWidth="1"/>
    <col min="6931" max="7167" width="9.140625" style="1"/>
    <col min="7168" max="7168" width="8.7109375" style="1" customWidth="1"/>
    <col min="7169" max="7169" width="13.5703125" style="1" bestFit="1" customWidth="1"/>
    <col min="7170" max="7171" width="12.140625" style="1" customWidth="1"/>
    <col min="7172" max="7172" width="13.140625" style="1" bestFit="1" customWidth="1"/>
    <col min="7173" max="7174" width="12.140625" style="1" customWidth="1"/>
    <col min="7175" max="7175" width="13.140625" style="1" bestFit="1" customWidth="1"/>
    <col min="7176" max="7177" width="12.140625" style="1" customWidth="1"/>
    <col min="7178" max="7178" width="13.140625" style="1" bestFit="1" customWidth="1"/>
    <col min="7179" max="7180" width="12.140625" style="1" customWidth="1"/>
    <col min="7181" max="7181" width="10.85546875" style="1" customWidth="1"/>
    <col min="7182" max="7182" width="9.7109375" style="1" customWidth="1"/>
    <col min="7183" max="7183" width="12.42578125" style="1" customWidth="1"/>
    <col min="7184" max="7185" width="9.7109375" style="1" customWidth="1"/>
    <col min="7186" max="7186" width="11" style="1" customWidth="1"/>
    <col min="7187" max="7423" width="9.140625" style="1"/>
    <col min="7424" max="7424" width="8.7109375" style="1" customWidth="1"/>
    <col min="7425" max="7425" width="13.5703125" style="1" bestFit="1" customWidth="1"/>
    <col min="7426" max="7427" width="12.140625" style="1" customWidth="1"/>
    <col min="7428" max="7428" width="13.140625" style="1" bestFit="1" customWidth="1"/>
    <col min="7429" max="7430" width="12.140625" style="1" customWidth="1"/>
    <col min="7431" max="7431" width="13.140625" style="1" bestFit="1" customWidth="1"/>
    <col min="7432" max="7433" width="12.140625" style="1" customWidth="1"/>
    <col min="7434" max="7434" width="13.140625" style="1" bestFit="1" customWidth="1"/>
    <col min="7435" max="7436" width="12.140625" style="1" customWidth="1"/>
    <col min="7437" max="7437" width="10.85546875" style="1" customWidth="1"/>
    <col min="7438" max="7438" width="9.7109375" style="1" customWidth="1"/>
    <col min="7439" max="7439" width="12.42578125" style="1" customWidth="1"/>
    <col min="7440" max="7441" width="9.7109375" style="1" customWidth="1"/>
    <col min="7442" max="7442" width="11" style="1" customWidth="1"/>
    <col min="7443" max="7679" width="9.140625" style="1"/>
    <col min="7680" max="7680" width="8.7109375" style="1" customWidth="1"/>
    <col min="7681" max="7681" width="13.5703125" style="1" bestFit="1" customWidth="1"/>
    <col min="7682" max="7683" width="12.140625" style="1" customWidth="1"/>
    <col min="7684" max="7684" width="13.140625" style="1" bestFit="1" customWidth="1"/>
    <col min="7685" max="7686" width="12.140625" style="1" customWidth="1"/>
    <col min="7687" max="7687" width="13.140625" style="1" bestFit="1" customWidth="1"/>
    <col min="7688" max="7689" width="12.140625" style="1" customWidth="1"/>
    <col min="7690" max="7690" width="13.140625" style="1" bestFit="1" customWidth="1"/>
    <col min="7691" max="7692" width="12.140625" style="1" customWidth="1"/>
    <col min="7693" max="7693" width="10.85546875" style="1" customWidth="1"/>
    <col min="7694" max="7694" width="9.7109375" style="1" customWidth="1"/>
    <col min="7695" max="7695" width="12.42578125" style="1" customWidth="1"/>
    <col min="7696" max="7697" width="9.7109375" style="1" customWidth="1"/>
    <col min="7698" max="7698" width="11" style="1" customWidth="1"/>
    <col min="7699" max="7935" width="9.140625" style="1"/>
    <col min="7936" max="7936" width="8.7109375" style="1" customWidth="1"/>
    <col min="7937" max="7937" width="13.5703125" style="1" bestFit="1" customWidth="1"/>
    <col min="7938" max="7939" width="12.140625" style="1" customWidth="1"/>
    <col min="7940" max="7940" width="13.140625" style="1" bestFit="1" customWidth="1"/>
    <col min="7941" max="7942" width="12.140625" style="1" customWidth="1"/>
    <col min="7943" max="7943" width="13.140625" style="1" bestFit="1" customWidth="1"/>
    <col min="7944" max="7945" width="12.140625" style="1" customWidth="1"/>
    <col min="7946" max="7946" width="13.140625" style="1" bestFit="1" customWidth="1"/>
    <col min="7947" max="7948" width="12.140625" style="1" customWidth="1"/>
    <col min="7949" max="7949" width="10.85546875" style="1" customWidth="1"/>
    <col min="7950" max="7950" width="9.7109375" style="1" customWidth="1"/>
    <col min="7951" max="7951" width="12.42578125" style="1" customWidth="1"/>
    <col min="7952" max="7953" width="9.7109375" style="1" customWidth="1"/>
    <col min="7954" max="7954" width="11" style="1" customWidth="1"/>
    <col min="7955" max="8191" width="9.140625" style="1"/>
    <col min="8192" max="8192" width="8.7109375" style="1" customWidth="1"/>
    <col min="8193" max="8193" width="13.5703125" style="1" bestFit="1" customWidth="1"/>
    <col min="8194" max="8195" width="12.140625" style="1" customWidth="1"/>
    <col min="8196" max="8196" width="13.140625" style="1" bestFit="1" customWidth="1"/>
    <col min="8197" max="8198" width="12.140625" style="1" customWidth="1"/>
    <col min="8199" max="8199" width="13.140625" style="1" bestFit="1" customWidth="1"/>
    <col min="8200" max="8201" width="12.140625" style="1" customWidth="1"/>
    <col min="8202" max="8202" width="13.140625" style="1" bestFit="1" customWidth="1"/>
    <col min="8203" max="8204" width="12.140625" style="1" customWidth="1"/>
    <col min="8205" max="8205" width="10.85546875" style="1" customWidth="1"/>
    <col min="8206" max="8206" width="9.7109375" style="1" customWidth="1"/>
    <col min="8207" max="8207" width="12.42578125" style="1" customWidth="1"/>
    <col min="8208" max="8209" width="9.7109375" style="1" customWidth="1"/>
    <col min="8210" max="8210" width="11" style="1" customWidth="1"/>
    <col min="8211" max="8447" width="9.140625" style="1"/>
    <col min="8448" max="8448" width="8.7109375" style="1" customWidth="1"/>
    <col min="8449" max="8449" width="13.5703125" style="1" bestFit="1" customWidth="1"/>
    <col min="8450" max="8451" width="12.140625" style="1" customWidth="1"/>
    <col min="8452" max="8452" width="13.140625" style="1" bestFit="1" customWidth="1"/>
    <col min="8453" max="8454" width="12.140625" style="1" customWidth="1"/>
    <col min="8455" max="8455" width="13.140625" style="1" bestFit="1" customWidth="1"/>
    <col min="8456" max="8457" width="12.140625" style="1" customWidth="1"/>
    <col min="8458" max="8458" width="13.140625" style="1" bestFit="1" customWidth="1"/>
    <col min="8459" max="8460" width="12.140625" style="1" customWidth="1"/>
    <col min="8461" max="8461" width="10.85546875" style="1" customWidth="1"/>
    <col min="8462" max="8462" width="9.7109375" style="1" customWidth="1"/>
    <col min="8463" max="8463" width="12.42578125" style="1" customWidth="1"/>
    <col min="8464" max="8465" width="9.7109375" style="1" customWidth="1"/>
    <col min="8466" max="8466" width="11" style="1" customWidth="1"/>
    <col min="8467" max="8703" width="9.140625" style="1"/>
    <col min="8704" max="8704" width="8.7109375" style="1" customWidth="1"/>
    <col min="8705" max="8705" width="13.5703125" style="1" bestFit="1" customWidth="1"/>
    <col min="8706" max="8707" width="12.140625" style="1" customWidth="1"/>
    <col min="8708" max="8708" width="13.140625" style="1" bestFit="1" customWidth="1"/>
    <col min="8709" max="8710" width="12.140625" style="1" customWidth="1"/>
    <col min="8711" max="8711" width="13.140625" style="1" bestFit="1" customWidth="1"/>
    <col min="8712" max="8713" width="12.140625" style="1" customWidth="1"/>
    <col min="8714" max="8714" width="13.140625" style="1" bestFit="1" customWidth="1"/>
    <col min="8715" max="8716" width="12.140625" style="1" customWidth="1"/>
    <col min="8717" max="8717" width="10.85546875" style="1" customWidth="1"/>
    <col min="8718" max="8718" width="9.7109375" style="1" customWidth="1"/>
    <col min="8719" max="8719" width="12.42578125" style="1" customWidth="1"/>
    <col min="8720" max="8721" width="9.7109375" style="1" customWidth="1"/>
    <col min="8722" max="8722" width="11" style="1" customWidth="1"/>
    <col min="8723" max="8959" width="9.140625" style="1"/>
    <col min="8960" max="8960" width="8.7109375" style="1" customWidth="1"/>
    <col min="8961" max="8961" width="13.5703125" style="1" bestFit="1" customWidth="1"/>
    <col min="8962" max="8963" width="12.140625" style="1" customWidth="1"/>
    <col min="8964" max="8964" width="13.140625" style="1" bestFit="1" customWidth="1"/>
    <col min="8965" max="8966" width="12.140625" style="1" customWidth="1"/>
    <col min="8967" max="8967" width="13.140625" style="1" bestFit="1" customWidth="1"/>
    <col min="8968" max="8969" width="12.140625" style="1" customWidth="1"/>
    <col min="8970" max="8970" width="13.140625" style="1" bestFit="1" customWidth="1"/>
    <col min="8971" max="8972" width="12.140625" style="1" customWidth="1"/>
    <col min="8973" max="8973" width="10.85546875" style="1" customWidth="1"/>
    <col min="8974" max="8974" width="9.7109375" style="1" customWidth="1"/>
    <col min="8975" max="8975" width="12.42578125" style="1" customWidth="1"/>
    <col min="8976" max="8977" width="9.7109375" style="1" customWidth="1"/>
    <col min="8978" max="8978" width="11" style="1" customWidth="1"/>
    <col min="8979" max="9215" width="9.140625" style="1"/>
    <col min="9216" max="9216" width="8.7109375" style="1" customWidth="1"/>
    <col min="9217" max="9217" width="13.5703125" style="1" bestFit="1" customWidth="1"/>
    <col min="9218" max="9219" width="12.140625" style="1" customWidth="1"/>
    <col min="9220" max="9220" width="13.140625" style="1" bestFit="1" customWidth="1"/>
    <col min="9221" max="9222" width="12.140625" style="1" customWidth="1"/>
    <col min="9223" max="9223" width="13.140625" style="1" bestFit="1" customWidth="1"/>
    <col min="9224" max="9225" width="12.140625" style="1" customWidth="1"/>
    <col min="9226" max="9226" width="13.140625" style="1" bestFit="1" customWidth="1"/>
    <col min="9227" max="9228" width="12.140625" style="1" customWidth="1"/>
    <col min="9229" max="9229" width="10.85546875" style="1" customWidth="1"/>
    <col min="9230" max="9230" width="9.7109375" style="1" customWidth="1"/>
    <col min="9231" max="9231" width="12.42578125" style="1" customWidth="1"/>
    <col min="9232" max="9233" width="9.7109375" style="1" customWidth="1"/>
    <col min="9234" max="9234" width="11" style="1" customWidth="1"/>
    <col min="9235" max="9471" width="9.140625" style="1"/>
    <col min="9472" max="9472" width="8.7109375" style="1" customWidth="1"/>
    <col min="9473" max="9473" width="13.5703125" style="1" bestFit="1" customWidth="1"/>
    <col min="9474" max="9475" width="12.140625" style="1" customWidth="1"/>
    <col min="9476" max="9476" width="13.140625" style="1" bestFit="1" customWidth="1"/>
    <col min="9477" max="9478" width="12.140625" style="1" customWidth="1"/>
    <col min="9479" max="9479" width="13.140625" style="1" bestFit="1" customWidth="1"/>
    <col min="9480" max="9481" width="12.140625" style="1" customWidth="1"/>
    <col min="9482" max="9482" width="13.140625" style="1" bestFit="1" customWidth="1"/>
    <col min="9483" max="9484" width="12.140625" style="1" customWidth="1"/>
    <col min="9485" max="9485" width="10.85546875" style="1" customWidth="1"/>
    <col min="9486" max="9486" width="9.7109375" style="1" customWidth="1"/>
    <col min="9487" max="9487" width="12.42578125" style="1" customWidth="1"/>
    <col min="9488" max="9489" width="9.7109375" style="1" customWidth="1"/>
    <col min="9490" max="9490" width="11" style="1" customWidth="1"/>
    <col min="9491" max="9727" width="9.140625" style="1"/>
    <col min="9728" max="9728" width="8.7109375" style="1" customWidth="1"/>
    <col min="9729" max="9729" width="13.5703125" style="1" bestFit="1" customWidth="1"/>
    <col min="9730" max="9731" width="12.140625" style="1" customWidth="1"/>
    <col min="9732" max="9732" width="13.140625" style="1" bestFit="1" customWidth="1"/>
    <col min="9733" max="9734" width="12.140625" style="1" customWidth="1"/>
    <col min="9735" max="9735" width="13.140625" style="1" bestFit="1" customWidth="1"/>
    <col min="9736" max="9737" width="12.140625" style="1" customWidth="1"/>
    <col min="9738" max="9738" width="13.140625" style="1" bestFit="1" customWidth="1"/>
    <col min="9739" max="9740" width="12.140625" style="1" customWidth="1"/>
    <col min="9741" max="9741" width="10.85546875" style="1" customWidth="1"/>
    <col min="9742" max="9742" width="9.7109375" style="1" customWidth="1"/>
    <col min="9743" max="9743" width="12.42578125" style="1" customWidth="1"/>
    <col min="9744" max="9745" width="9.7109375" style="1" customWidth="1"/>
    <col min="9746" max="9746" width="11" style="1" customWidth="1"/>
    <col min="9747" max="9983" width="9.140625" style="1"/>
    <col min="9984" max="9984" width="8.7109375" style="1" customWidth="1"/>
    <col min="9985" max="9985" width="13.5703125" style="1" bestFit="1" customWidth="1"/>
    <col min="9986" max="9987" width="12.140625" style="1" customWidth="1"/>
    <col min="9988" max="9988" width="13.140625" style="1" bestFit="1" customWidth="1"/>
    <col min="9989" max="9990" width="12.140625" style="1" customWidth="1"/>
    <col min="9991" max="9991" width="13.140625" style="1" bestFit="1" customWidth="1"/>
    <col min="9992" max="9993" width="12.140625" style="1" customWidth="1"/>
    <col min="9994" max="9994" width="13.140625" style="1" bestFit="1" customWidth="1"/>
    <col min="9995" max="9996" width="12.140625" style="1" customWidth="1"/>
    <col min="9997" max="9997" width="10.85546875" style="1" customWidth="1"/>
    <col min="9998" max="9998" width="9.7109375" style="1" customWidth="1"/>
    <col min="9999" max="9999" width="12.42578125" style="1" customWidth="1"/>
    <col min="10000" max="10001" width="9.7109375" style="1" customWidth="1"/>
    <col min="10002" max="10002" width="11" style="1" customWidth="1"/>
    <col min="10003" max="10239" width="9.140625" style="1"/>
    <col min="10240" max="10240" width="8.7109375" style="1" customWidth="1"/>
    <col min="10241" max="10241" width="13.5703125" style="1" bestFit="1" customWidth="1"/>
    <col min="10242" max="10243" width="12.140625" style="1" customWidth="1"/>
    <col min="10244" max="10244" width="13.140625" style="1" bestFit="1" customWidth="1"/>
    <col min="10245" max="10246" width="12.140625" style="1" customWidth="1"/>
    <col min="10247" max="10247" width="13.140625" style="1" bestFit="1" customWidth="1"/>
    <col min="10248" max="10249" width="12.140625" style="1" customWidth="1"/>
    <col min="10250" max="10250" width="13.140625" style="1" bestFit="1" customWidth="1"/>
    <col min="10251" max="10252" width="12.140625" style="1" customWidth="1"/>
    <col min="10253" max="10253" width="10.85546875" style="1" customWidth="1"/>
    <col min="10254" max="10254" width="9.7109375" style="1" customWidth="1"/>
    <col min="10255" max="10255" width="12.42578125" style="1" customWidth="1"/>
    <col min="10256" max="10257" width="9.7109375" style="1" customWidth="1"/>
    <col min="10258" max="10258" width="11" style="1" customWidth="1"/>
    <col min="10259" max="10495" width="9.140625" style="1"/>
    <col min="10496" max="10496" width="8.7109375" style="1" customWidth="1"/>
    <col min="10497" max="10497" width="13.5703125" style="1" bestFit="1" customWidth="1"/>
    <col min="10498" max="10499" width="12.140625" style="1" customWidth="1"/>
    <col min="10500" max="10500" width="13.140625" style="1" bestFit="1" customWidth="1"/>
    <col min="10501" max="10502" width="12.140625" style="1" customWidth="1"/>
    <col min="10503" max="10503" width="13.140625" style="1" bestFit="1" customWidth="1"/>
    <col min="10504" max="10505" width="12.140625" style="1" customWidth="1"/>
    <col min="10506" max="10506" width="13.140625" style="1" bestFit="1" customWidth="1"/>
    <col min="10507" max="10508" width="12.140625" style="1" customWidth="1"/>
    <col min="10509" max="10509" width="10.85546875" style="1" customWidth="1"/>
    <col min="10510" max="10510" width="9.7109375" style="1" customWidth="1"/>
    <col min="10511" max="10511" width="12.42578125" style="1" customWidth="1"/>
    <col min="10512" max="10513" width="9.7109375" style="1" customWidth="1"/>
    <col min="10514" max="10514" width="11" style="1" customWidth="1"/>
    <col min="10515" max="10751" width="9.140625" style="1"/>
    <col min="10752" max="10752" width="8.7109375" style="1" customWidth="1"/>
    <col min="10753" max="10753" width="13.5703125" style="1" bestFit="1" customWidth="1"/>
    <col min="10754" max="10755" width="12.140625" style="1" customWidth="1"/>
    <col min="10756" max="10756" width="13.140625" style="1" bestFit="1" customWidth="1"/>
    <col min="10757" max="10758" width="12.140625" style="1" customWidth="1"/>
    <col min="10759" max="10759" width="13.140625" style="1" bestFit="1" customWidth="1"/>
    <col min="10760" max="10761" width="12.140625" style="1" customWidth="1"/>
    <col min="10762" max="10762" width="13.140625" style="1" bestFit="1" customWidth="1"/>
    <col min="10763" max="10764" width="12.140625" style="1" customWidth="1"/>
    <col min="10765" max="10765" width="10.85546875" style="1" customWidth="1"/>
    <col min="10766" max="10766" width="9.7109375" style="1" customWidth="1"/>
    <col min="10767" max="10767" width="12.42578125" style="1" customWidth="1"/>
    <col min="10768" max="10769" width="9.7109375" style="1" customWidth="1"/>
    <col min="10770" max="10770" width="11" style="1" customWidth="1"/>
    <col min="10771" max="11007" width="9.140625" style="1"/>
    <col min="11008" max="11008" width="8.7109375" style="1" customWidth="1"/>
    <col min="11009" max="11009" width="13.5703125" style="1" bestFit="1" customWidth="1"/>
    <col min="11010" max="11011" width="12.140625" style="1" customWidth="1"/>
    <col min="11012" max="11012" width="13.140625" style="1" bestFit="1" customWidth="1"/>
    <col min="11013" max="11014" width="12.140625" style="1" customWidth="1"/>
    <col min="11015" max="11015" width="13.140625" style="1" bestFit="1" customWidth="1"/>
    <col min="11016" max="11017" width="12.140625" style="1" customWidth="1"/>
    <col min="11018" max="11018" width="13.140625" style="1" bestFit="1" customWidth="1"/>
    <col min="11019" max="11020" width="12.140625" style="1" customWidth="1"/>
    <col min="11021" max="11021" width="10.85546875" style="1" customWidth="1"/>
    <col min="11022" max="11022" width="9.7109375" style="1" customWidth="1"/>
    <col min="11023" max="11023" width="12.42578125" style="1" customWidth="1"/>
    <col min="11024" max="11025" width="9.7109375" style="1" customWidth="1"/>
    <col min="11026" max="11026" width="11" style="1" customWidth="1"/>
    <col min="11027" max="11263" width="9.140625" style="1"/>
    <col min="11264" max="11264" width="8.7109375" style="1" customWidth="1"/>
    <col min="11265" max="11265" width="13.5703125" style="1" bestFit="1" customWidth="1"/>
    <col min="11266" max="11267" width="12.140625" style="1" customWidth="1"/>
    <col min="11268" max="11268" width="13.140625" style="1" bestFit="1" customWidth="1"/>
    <col min="11269" max="11270" width="12.140625" style="1" customWidth="1"/>
    <col min="11271" max="11271" width="13.140625" style="1" bestFit="1" customWidth="1"/>
    <col min="11272" max="11273" width="12.140625" style="1" customWidth="1"/>
    <col min="11274" max="11274" width="13.140625" style="1" bestFit="1" customWidth="1"/>
    <col min="11275" max="11276" width="12.140625" style="1" customWidth="1"/>
    <col min="11277" max="11277" width="10.85546875" style="1" customWidth="1"/>
    <col min="11278" max="11278" width="9.7109375" style="1" customWidth="1"/>
    <col min="11279" max="11279" width="12.42578125" style="1" customWidth="1"/>
    <col min="11280" max="11281" width="9.7109375" style="1" customWidth="1"/>
    <col min="11282" max="11282" width="11" style="1" customWidth="1"/>
    <col min="11283" max="11519" width="9.140625" style="1"/>
    <col min="11520" max="11520" width="8.7109375" style="1" customWidth="1"/>
    <col min="11521" max="11521" width="13.5703125" style="1" bestFit="1" customWidth="1"/>
    <col min="11522" max="11523" width="12.140625" style="1" customWidth="1"/>
    <col min="11524" max="11524" width="13.140625" style="1" bestFit="1" customWidth="1"/>
    <col min="11525" max="11526" width="12.140625" style="1" customWidth="1"/>
    <col min="11527" max="11527" width="13.140625" style="1" bestFit="1" customWidth="1"/>
    <col min="11528" max="11529" width="12.140625" style="1" customWidth="1"/>
    <col min="11530" max="11530" width="13.140625" style="1" bestFit="1" customWidth="1"/>
    <col min="11531" max="11532" width="12.140625" style="1" customWidth="1"/>
    <col min="11533" max="11533" width="10.85546875" style="1" customWidth="1"/>
    <col min="11534" max="11534" width="9.7109375" style="1" customWidth="1"/>
    <col min="11535" max="11535" width="12.42578125" style="1" customWidth="1"/>
    <col min="11536" max="11537" width="9.7109375" style="1" customWidth="1"/>
    <col min="11538" max="11538" width="11" style="1" customWidth="1"/>
    <col min="11539" max="11775" width="9.140625" style="1"/>
    <col min="11776" max="11776" width="8.7109375" style="1" customWidth="1"/>
    <col min="11777" max="11777" width="13.5703125" style="1" bestFit="1" customWidth="1"/>
    <col min="11778" max="11779" width="12.140625" style="1" customWidth="1"/>
    <col min="11780" max="11780" width="13.140625" style="1" bestFit="1" customWidth="1"/>
    <col min="11781" max="11782" width="12.140625" style="1" customWidth="1"/>
    <col min="11783" max="11783" width="13.140625" style="1" bestFit="1" customWidth="1"/>
    <col min="11784" max="11785" width="12.140625" style="1" customWidth="1"/>
    <col min="11786" max="11786" width="13.140625" style="1" bestFit="1" customWidth="1"/>
    <col min="11787" max="11788" width="12.140625" style="1" customWidth="1"/>
    <col min="11789" max="11789" width="10.85546875" style="1" customWidth="1"/>
    <col min="11790" max="11790" width="9.7109375" style="1" customWidth="1"/>
    <col min="11791" max="11791" width="12.42578125" style="1" customWidth="1"/>
    <col min="11792" max="11793" width="9.7109375" style="1" customWidth="1"/>
    <col min="11794" max="11794" width="11" style="1" customWidth="1"/>
    <col min="11795" max="12031" width="9.140625" style="1"/>
    <col min="12032" max="12032" width="8.7109375" style="1" customWidth="1"/>
    <col min="12033" max="12033" width="13.5703125" style="1" bestFit="1" customWidth="1"/>
    <col min="12034" max="12035" width="12.140625" style="1" customWidth="1"/>
    <col min="12036" max="12036" width="13.140625" style="1" bestFit="1" customWidth="1"/>
    <col min="12037" max="12038" width="12.140625" style="1" customWidth="1"/>
    <col min="12039" max="12039" width="13.140625" style="1" bestFit="1" customWidth="1"/>
    <col min="12040" max="12041" width="12.140625" style="1" customWidth="1"/>
    <col min="12042" max="12042" width="13.140625" style="1" bestFit="1" customWidth="1"/>
    <col min="12043" max="12044" width="12.140625" style="1" customWidth="1"/>
    <col min="12045" max="12045" width="10.85546875" style="1" customWidth="1"/>
    <col min="12046" max="12046" width="9.7109375" style="1" customWidth="1"/>
    <col min="12047" max="12047" width="12.42578125" style="1" customWidth="1"/>
    <col min="12048" max="12049" width="9.7109375" style="1" customWidth="1"/>
    <col min="12050" max="12050" width="11" style="1" customWidth="1"/>
    <col min="12051" max="12287" width="9.140625" style="1"/>
    <col min="12288" max="12288" width="8.7109375" style="1" customWidth="1"/>
    <col min="12289" max="12289" width="13.5703125" style="1" bestFit="1" customWidth="1"/>
    <col min="12290" max="12291" width="12.140625" style="1" customWidth="1"/>
    <col min="12292" max="12292" width="13.140625" style="1" bestFit="1" customWidth="1"/>
    <col min="12293" max="12294" width="12.140625" style="1" customWidth="1"/>
    <col min="12295" max="12295" width="13.140625" style="1" bestFit="1" customWidth="1"/>
    <col min="12296" max="12297" width="12.140625" style="1" customWidth="1"/>
    <col min="12298" max="12298" width="13.140625" style="1" bestFit="1" customWidth="1"/>
    <col min="12299" max="12300" width="12.140625" style="1" customWidth="1"/>
    <col min="12301" max="12301" width="10.85546875" style="1" customWidth="1"/>
    <col min="12302" max="12302" width="9.7109375" style="1" customWidth="1"/>
    <col min="12303" max="12303" width="12.42578125" style="1" customWidth="1"/>
    <col min="12304" max="12305" width="9.7109375" style="1" customWidth="1"/>
    <col min="12306" max="12306" width="11" style="1" customWidth="1"/>
    <col min="12307" max="12543" width="9.140625" style="1"/>
    <col min="12544" max="12544" width="8.7109375" style="1" customWidth="1"/>
    <col min="12545" max="12545" width="13.5703125" style="1" bestFit="1" customWidth="1"/>
    <col min="12546" max="12547" width="12.140625" style="1" customWidth="1"/>
    <col min="12548" max="12548" width="13.140625" style="1" bestFit="1" customWidth="1"/>
    <col min="12549" max="12550" width="12.140625" style="1" customWidth="1"/>
    <col min="12551" max="12551" width="13.140625" style="1" bestFit="1" customWidth="1"/>
    <col min="12552" max="12553" width="12.140625" style="1" customWidth="1"/>
    <col min="12554" max="12554" width="13.140625" style="1" bestFit="1" customWidth="1"/>
    <col min="12555" max="12556" width="12.140625" style="1" customWidth="1"/>
    <col min="12557" max="12557" width="10.85546875" style="1" customWidth="1"/>
    <col min="12558" max="12558" width="9.7109375" style="1" customWidth="1"/>
    <col min="12559" max="12559" width="12.42578125" style="1" customWidth="1"/>
    <col min="12560" max="12561" width="9.7109375" style="1" customWidth="1"/>
    <col min="12562" max="12562" width="11" style="1" customWidth="1"/>
    <col min="12563" max="12799" width="9.140625" style="1"/>
    <col min="12800" max="12800" width="8.7109375" style="1" customWidth="1"/>
    <col min="12801" max="12801" width="13.5703125" style="1" bestFit="1" customWidth="1"/>
    <col min="12802" max="12803" width="12.140625" style="1" customWidth="1"/>
    <col min="12804" max="12804" width="13.140625" style="1" bestFit="1" customWidth="1"/>
    <col min="12805" max="12806" width="12.140625" style="1" customWidth="1"/>
    <col min="12807" max="12807" width="13.140625" style="1" bestFit="1" customWidth="1"/>
    <col min="12808" max="12809" width="12.140625" style="1" customWidth="1"/>
    <col min="12810" max="12810" width="13.140625" style="1" bestFit="1" customWidth="1"/>
    <col min="12811" max="12812" width="12.140625" style="1" customWidth="1"/>
    <col min="12813" max="12813" width="10.85546875" style="1" customWidth="1"/>
    <col min="12814" max="12814" width="9.7109375" style="1" customWidth="1"/>
    <col min="12815" max="12815" width="12.42578125" style="1" customWidth="1"/>
    <col min="12816" max="12817" width="9.7109375" style="1" customWidth="1"/>
    <col min="12818" max="12818" width="11" style="1" customWidth="1"/>
    <col min="12819" max="13055" width="9.140625" style="1"/>
    <col min="13056" max="13056" width="8.7109375" style="1" customWidth="1"/>
    <col min="13057" max="13057" width="13.5703125" style="1" bestFit="1" customWidth="1"/>
    <col min="13058" max="13059" width="12.140625" style="1" customWidth="1"/>
    <col min="13060" max="13060" width="13.140625" style="1" bestFit="1" customWidth="1"/>
    <col min="13061" max="13062" width="12.140625" style="1" customWidth="1"/>
    <col min="13063" max="13063" width="13.140625" style="1" bestFit="1" customWidth="1"/>
    <col min="13064" max="13065" width="12.140625" style="1" customWidth="1"/>
    <col min="13066" max="13066" width="13.140625" style="1" bestFit="1" customWidth="1"/>
    <col min="13067" max="13068" width="12.140625" style="1" customWidth="1"/>
    <col min="13069" max="13069" width="10.85546875" style="1" customWidth="1"/>
    <col min="13070" max="13070" width="9.7109375" style="1" customWidth="1"/>
    <col min="13071" max="13071" width="12.42578125" style="1" customWidth="1"/>
    <col min="13072" max="13073" width="9.7109375" style="1" customWidth="1"/>
    <col min="13074" max="13074" width="11" style="1" customWidth="1"/>
    <col min="13075" max="13311" width="9.140625" style="1"/>
    <col min="13312" max="13312" width="8.7109375" style="1" customWidth="1"/>
    <col min="13313" max="13313" width="13.5703125" style="1" bestFit="1" customWidth="1"/>
    <col min="13314" max="13315" width="12.140625" style="1" customWidth="1"/>
    <col min="13316" max="13316" width="13.140625" style="1" bestFit="1" customWidth="1"/>
    <col min="13317" max="13318" width="12.140625" style="1" customWidth="1"/>
    <col min="13319" max="13319" width="13.140625" style="1" bestFit="1" customWidth="1"/>
    <col min="13320" max="13321" width="12.140625" style="1" customWidth="1"/>
    <col min="13322" max="13322" width="13.140625" style="1" bestFit="1" customWidth="1"/>
    <col min="13323" max="13324" width="12.140625" style="1" customWidth="1"/>
    <col min="13325" max="13325" width="10.85546875" style="1" customWidth="1"/>
    <col min="13326" max="13326" width="9.7109375" style="1" customWidth="1"/>
    <col min="13327" max="13327" width="12.42578125" style="1" customWidth="1"/>
    <col min="13328" max="13329" width="9.7109375" style="1" customWidth="1"/>
    <col min="13330" max="13330" width="11" style="1" customWidth="1"/>
    <col min="13331" max="13567" width="9.140625" style="1"/>
    <col min="13568" max="13568" width="8.7109375" style="1" customWidth="1"/>
    <col min="13569" max="13569" width="13.5703125" style="1" bestFit="1" customWidth="1"/>
    <col min="13570" max="13571" width="12.140625" style="1" customWidth="1"/>
    <col min="13572" max="13572" width="13.140625" style="1" bestFit="1" customWidth="1"/>
    <col min="13573" max="13574" width="12.140625" style="1" customWidth="1"/>
    <col min="13575" max="13575" width="13.140625" style="1" bestFit="1" customWidth="1"/>
    <col min="13576" max="13577" width="12.140625" style="1" customWidth="1"/>
    <col min="13578" max="13578" width="13.140625" style="1" bestFit="1" customWidth="1"/>
    <col min="13579" max="13580" width="12.140625" style="1" customWidth="1"/>
    <col min="13581" max="13581" width="10.85546875" style="1" customWidth="1"/>
    <col min="13582" max="13582" width="9.7109375" style="1" customWidth="1"/>
    <col min="13583" max="13583" width="12.42578125" style="1" customWidth="1"/>
    <col min="13584" max="13585" width="9.7109375" style="1" customWidth="1"/>
    <col min="13586" max="13586" width="11" style="1" customWidth="1"/>
    <col min="13587" max="13823" width="9.140625" style="1"/>
    <col min="13824" max="13824" width="8.7109375" style="1" customWidth="1"/>
    <col min="13825" max="13825" width="13.5703125" style="1" bestFit="1" customWidth="1"/>
    <col min="13826" max="13827" width="12.140625" style="1" customWidth="1"/>
    <col min="13828" max="13828" width="13.140625" style="1" bestFit="1" customWidth="1"/>
    <col min="13829" max="13830" width="12.140625" style="1" customWidth="1"/>
    <col min="13831" max="13831" width="13.140625" style="1" bestFit="1" customWidth="1"/>
    <col min="13832" max="13833" width="12.140625" style="1" customWidth="1"/>
    <col min="13834" max="13834" width="13.140625" style="1" bestFit="1" customWidth="1"/>
    <col min="13835" max="13836" width="12.140625" style="1" customWidth="1"/>
    <col min="13837" max="13837" width="10.85546875" style="1" customWidth="1"/>
    <col min="13838" max="13838" width="9.7109375" style="1" customWidth="1"/>
    <col min="13839" max="13839" width="12.42578125" style="1" customWidth="1"/>
    <col min="13840" max="13841" width="9.7109375" style="1" customWidth="1"/>
    <col min="13842" max="13842" width="11" style="1" customWidth="1"/>
    <col min="13843" max="14079" width="9.140625" style="1"/>
    <col min="14080" max="14080" width="8.7109375" style="1" customWidth="1"/>
    <col min="14081" max="14081" width="13.5703125" style="1" bestFit="1" customWidth="1"/>
    <col min="14082" max="14083" width="12.140625" style="1" customWidth="1"/>
    <col min="14084" max="14084" width="13.140625" style="1" bestFit="1" customWidth="1"/>
    <col min="14085" max="14086" width="12.140625" style="1" customWidth="1"/>
    <col min="14087" max="14087" width="13.140625" style="1" bestFit="1" customWidth="1"/>
    <col min="14088" max="14089" width="12.140625" style="1" customWidth="1"/>
    <col min="14090" max="14090" width="13.140625" style="1" bestFit="1" customWidth="1"/>
    <col min="14091" max="14092" width="12.140625" style="1" customWidth="1"/>
    <col min="14093" max="14093" width="10.85546875" style="1" customWidth="1"/>
    <col min="14094" max="14094" width="9.7109375" style="1" customWidth="1"/>
    <col min="14095" max="14095" width="12.42578125" style="1" customWidth="1"/>
    <col min="14096" max="14097" width="9.7109375" style="1" customWidth="1"/>
    <col min="14098" max="14098" width="11" style="1" customWidth="1"/>
    <col min="14099" max="14335" width="9.140625" style="1"/>
    <col min="14336" max="14336" width="8.7109375" style="1" customWidth="1"/>
    <col min="14337" max="14337" width="13.5703125" style="1" bestFit="1" customWidth="1"/>
    <col min="14338" max="14339" width="12.140625" style="1" customWidth="1"/>
    <col min="14340" max="14340" width="13.140625" style="1" bestFit="1" customWidth="1"/>
    <col min="14341" max="14342" width="12.140625" style="1" customWidth="1"/>
    <col min="14343" max="14343" width="13.140625" style="1" bestFit="1" customWidth="1"/>
    <col min="14344" max="14345" width="12.140625" style="1" customWidth="1"/>
    <col min="14346" max="14346" width="13.140625" style="1" bestFit="1" customWidth="1"/>
    <col min="14347" max="14348" width="12.140625" style="1" customWidth="1"/>
    <col min="14349" max="14349" width="10.85546875" style="1" customWidth="1"/>
    <col min="14350" max="14350" width="9.7109375" style="1" customWidth="1"/>
    <col min="14351" max="14351" width="12.42578125" style="1" customWidth="1"/>
    <col min="14352" max="14353" width="9.7109375" style="1" customWidth="1"/>
    <col min="14354" max="14354" width="11" style="1" customWidth="1"/>
    <col min="14355" max="14591" width="9.140625" style="1"/>
    <col min="14592" max="14592" width="8.7109375" style="1" customWidth="1"/>
    <col min="14593" max="14593" width="13.5703125" style="1" bestFit="1" customWidth="1"/>
    <col min="14594" max="14595" width="12.140625" style="1" customWidth="1"/>
    <col min="14596" max="14596" width="13.140625" style="1" bestFit="1" customWidth="1"/>
    <col min="14597" max="14598" width="12.140625" style="1" customWidth="1"/>
    <col min="14599" max="14599" width="13.140625" style="1" bestFit="1" customWidth="1"/>
    <col min="14600" max="14601" width="12.140625" style="1" customWidth="1"/>
    <col min="14602" max="14602" width="13.140625" style="1" bestFit="1" customWidth="1"/>
    <col min="14603" max="14604" width="12.140625" style="1" customWidth="1"/>
    <col min="14605" max="14605" width="10.85546875" style="1" customWidth="1"/>
    <col min="14606" max="14606" width="9.7109375" style="1" customWidth="1"/>
    <col min="14607" max="14607" width="12.42578125" style="1" customWidth="1"/>
    <col min="14608" max="14609" width="9.7109375" style="1" customWidth="1"/>
    <col min="14610" max="14610" width="11" style="1" customWidth="1"/>
    <col min="14611" max="14847" width="9.140625" style="1"/>
    <col min="14848" max="14848" width="8.7109375" style="1" customWidth="1"/>
    <col min="14849" max="14849" width="13.5703125" style="1" bestFit="1" customWidth="1"/>
    <col min="14850" max="14851" width="12.140625" style="1" customWidth="1"/>
    <col min="14852" max="14852" width="13.140625" style="1" bestFit="1" customWidth="1"/>
    <col min="14853" max="14854" width="12.140625" style="1" customWidth="1"/>
    <col min="14855" max="14855" width="13.140625" style="1" bestFit="1" customWidth="1"/>
    <col min="14856" max="14857" width="12.140625" style="1" customWidth="1"/>
    <col min="14858" max="14858" width="13.140625" style="1" bestFit="1" customWidth="1"/>
    <col min="14859" max="14860" width="12.140625" style="1" customWidth="1"/>
    <col min="14861" max="14861" width="10.85546875" style="1" customWidth="1"/>
    <col min="14862" max="14862" width="9.7109375" style="1" customWidth="1"/>
    <col min="14863" max="14863" width="12.42578125" style="1" customWidth="1"/>
    <col min="14864" max="14865" width="9.7109375" style="1" customWidth="1"/>
    <col min="14866" max="14866" width="11" style="1" customWidth="1"/>
    <col min="14867" max="15103" width="9.140625" style="1"/>
    <col min="15104" max="15104" width="8.7109375" style="1" customWidth="1"/>
    <col min="15105" max="15105" width="13.5703125" style="1" bestFit="1" customWidth="1"/>
    <col min="15106" max="15107" width="12.140625" style="1" customWidth="1"/>
    <col min="15108" max="15108" width="13.140625" style="1" bestFit="1" customWidth="1"/>
    <col min="15109" max="15110" width="12.140625" style="1" customWidth="1"/>
    <col min="15111" max="15111" width="13.140625" style="1" bestFit="1" customWidth="1"/>
    <col min="15112" max="15113" width="12.140625" style="1" customWidth="1"/>
    <col min="15114" max="15114" width="13.140625" style="1" bestFit="1" customWidth="1"/>
    <col min="15115" max="15116" width="12.140625" style="1" customWidth="1"/>
    <col min="15117" max="15117" width="10.85546875" style="1" customWidth="1"/>
    <col min="15118" max="15118" width="9.7109375" style="1" customWidth="1"/>
    <col min="15119" max="15119" width="12.42578125" style="1" customWidth="1"/>
    <col min="15120" max="15121" width="9.7109375" style="1" customWidth="1"/>
    <col min="15122" max="15122" width="11" style="1" customWidth="1"/>
    <col min="15123" max="15359" width="9.140625" style="1"/>
    <col min="15360" max="15360" width="8.7109375" style="1" customWidth="1"/>
    <col min="15361" max="15361" width="13.5703125" style="1" bestFit="1" customWidth="1"/>
    <col min="15362" max="15363" width="12.140625" style="1" customWidth="1"/>
    <col min="15364" max="15364" width="13.140625" style="1" bestFit="1" customWidth="1"/>
    <col min="15365" max="15366" width="12.140625" style="1" customWidth="1"/>
    <col min="15367" max="15367" width="13.140625" style="1" bestFit="1" customWidth="1"/>
    <col min="15368" max="15369" width="12.140625" style="1" customWidth="1"/>
    <col min="15370" max="15370" width="13.140625" style="1" bestFit="1" customWidth="1"/>
    <col min="15371" max="15372" width="12.140625" style="1" customWidth="1"/>
    <col min="15373" max="15373" width="10.85546875" style="1" customWidth="1"/>
    <col min="15374" max="15374" width="9.7109375" style="1" customWidth="1"/>
    <col min="15375" max="15375" width="12.42578125" style="1" customWidth="1"/>
    <col min="15376" max="15377" width="9.7109375" style="1" customWidth="1"/>
    <col min="15378" max="15378" width="11" style="1" customWidth="1"/>
    <col min="15379" max="15615" width="9.140625" style="1"/>
    <col min="15616" max="15616" width="8.7109375" style="1" customWidth="1"/>
    <col min="15617" max="15617" width="13.5703125" style="1" bestFit="1" customWidth="1"/>
    <col min="15618" max="15619" width="12.140625" style="1" customWidth="1"/>
    <col min="15620" max="15620" width="13.140625" style="1" bestFit="1" customWidth="1"/>
    <col min="15621" max="15622" width="12.140625" style="1" customWidth="1"/>
    <col min="15623" max="15623" width="13.140625" style="1" bestFit="1" customWidth="1"/>
    <col min="15624" max="15625" width="12.140625" style="1" customWidth="1"/>
    <col min="15626" max="15626" width="13.140625" style="1" bestFit="1" customWidth="1"/>
    <col min="15627" max="15628" width="12.140625" style="1" customWidth="1"/>
    <col min="15629" max="15629" width="10.85546875" style="1" customWidth="1"/>
    <col min="15630" max="15630" width="9.7109375" style="1" customWidth="1"/>
    <col min="15631" max="15631" width="12.42578125" style="1" customWidth="1"/>
    <col min="15632" max="15633" width="9.7109375" style="1" customWidth="1"/>
    <col min="15634" max="15634" width="11" style="1" customWidth="1"/>
    <col min="15635" max="15871" width="9.140625" style="1"/>
    <col min="15872" max="15872" width="8.7109375" style="1" customWidth="1"/>
    <col min="15873" max="15873" width="13.5703125" style="1" bestFit="1" customWidth="1"/>
    <col min="15874" max="15875" width="12.140625" style="1" customWidth="1"/>
    <col min="15876" max="15876" width="13.140625" style="1" bestFit="1" customWidth="1"/>
    <col min="15877" max="15878" width="12.140625" style="1" customWidth="1"/>
    <col min="15879" max="15879" width="13.140625" style="1" bestFit="1" customWidth="1"/>
    <col min="15880" max="15881" width="12.140625" style="1" customWidth="1"/>
    <col min="15882" max="15882" width="13.140625" style="1" bestFit="1" customWidth="1"/>
    <col min="15883" max="15884" width="12.140625" style="1" customWidth="1"/>
    <col min="15885" max="15885" width="10.85546875" style="1" customWidth="1"/>
    <col min="15886" max="15886" width="9.7109375" style="1" customWidth="1"/>
    <col min="15887" max="15887" width="12.42578125" style="1" customWidth="1"/>
    <col min="15888" max="15889" width="9.7109375" style="1" customWidth="1"/>
    <col min="15890" max="15890" width="11" style="1" customWidth="1"/>
    <col min="15891" max="16127" width="9.140625" style="1"/>
    <col min="16128" max="16128" width="8.7109375" style="1" customWidth="1"/>
    <col min="16129" max="16129" width="13.5703125" style="1" bestFit="1" customWidth="1"/>
    <col min="16130" max="16131" width="12.140625" style="1" customWidth="1"/>
    <col min="16132" max="16132" width="13.140625" style="1" bestFit="1" customWidth="1"/>
    <col min="16133" max="16134" width="12.140625" style="1" customWidth="1"/>
    <col min="16135" max="16135" width="13.140625" style="1" bestFit="1" customWidth="1"/>
    <col min="16136" max="16137" width="12.140625" style="1" customWidth="1"/>
    <col min="16138" max="16138" width="13.140625" style="1" bestFit="1" customWidth="1"/>
    <col min="16139" max="16140" width="12.140625" style="1" customWidth="1"/>
    <col min="16141" max="16141" width="10.85546875" style="1" customWidth="1"/>
    <col min="16142" max="16142" width="9.7109375" style="1" customWidth="1"/>
    <col min="16143" max="16143" width="12.42578125" style="1" customWidth="1"/>
    <col min="16144" max="16145" width="9.7109375" style="1" customWidth="1"/>
    <col min="16146" max="16146" width="11" style="1" customWidth="1"/>
    <col min="16147" max="16384" width="9.140625" style="1"/>
  </cols>
  <sheetData>
    <row r="1" spans="1:13" ht="20.25" x14ac:dyDescent="0.3">
      <c r="A1" s="545" t="s">
        <v>41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</row>
    <row r="2" spans="1:13" ht="13.5" customHeight="1" x14ac:dyDescent="0.3">
      <c r="A2" s="547"/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</row>
    <row r="3" spans="1:13" ht="13.5" customHeight="1" thickBot="1" x14ac:dyDescent="0.25">
      <c r="B3" s="2"/>
      <c r="C3" s="3"/>
      <c r="D3" s="4"/>
      <c r="E3" s="4"/>
      <c r="F3" s="4"/>
      <c r="G3" s="5"/>
      <c r="H3" s="5"/>
      <c r="I3" s="5"/>
      <c r="J3" s="5"/>
      <c r="K3" s="6"/>
      <c r="L3" s="6"/>
      <c r="M3" s="64" t="s">
        <v>26</v>
      </c>
    </row>
    <row r="4" spans="1:13" ht="13.5" customHeight="1" x14ac:dyDescent="0.2">
      <c r="A4" s="524" t="s">
        <v>2</v>
      </c>
      <c r="B4" s="548" t="s">
        <v>27</v>
      </c>
      <c r="C4" s="528"/>
      <c r="D4" s="529"/>
      <c r="E4" s="549" t="s">
        <v>28</v>
      </c>
      <c r="F4" s="528"/>
      <c r="G4" s="529"/>
      <c r="H4" s="550" t="s">
        <v>29</v>
      </c>
      <c r="I4" s="528"/>
      <c r="J4" s="529"/>
      <c r="K4" s="551" t="s">
        <v>30</v>
      </c>
      <c r="L4" s="528"/>
      <c r="M4" s="529"/>
    </row>
    <row r="5" spans="1:13" ht="13.5" customHeight="1" thickBot="1" x14ac:dyDescent="0.25">
      <c r="A5" s="525"/>
      <c r="B5" s="530"/>
      <c r="C5" s="531"/>
      <c r="D5" s="532"/>
      <c r="E5" s="530"/>
      <c r="F5" s="531"/>
      <c r="G5" s="532"/>
      <c r="H5" s="530"/>
      <c r="I5" s="531"/>
      <c r="J5" s="532"/>
      <c r="K5" s="530"/>
      <c r="L5" s="531"/>
      <c r="M5" s="532"/>
    </row>
    <row r="6" spans="1:13" x14ac:dyDescent="0.2">
      <c r="A6" s="525"/>
      <c r="B6" s="539" t="s">
        <v>3</v>
      </c>
      <c r="C6" s="521" t="s">
        <v>31</v>
      </c>
      <c r="D6" s="517" t="s">
        <v>32</v>
      </c>
      <c r="E6" s="539" t="s">
        <v>4</v>
      </c>
      <c r="F6" s="521" t="s">
        <v>31</v>
      </c>
      <c r="G6" s="517" t="s">
        <v>32</v>
      </c>
      <c r="H6" s="541" t="s">
        <v>5</v>
      </c>
      <c r="I6" s="521" t="s">
        <v>31</v>
      </c>
      <c r="J6" s="517" t="s">
        <v>32</v>
      </c>
      <c r="K6" s="539" t="s">
        <v>6</v>
      </c>
      <c r="L6" s="521" t="s">
        <v>31</v>
      </c>
      <c r="M6" s="517" t="s">
        <v>32</v>
      </c>
    </row>
    <row r="7" spans="1:13" ht="13.5" thickBot="1" x14ac:dyDescent="0.25">
      <c r="A7" s="526"/>
      <c r="B7" s="540"/>
      <c r="C7" s="522"/>
      <c r="D7" s="518"/>
      <c r="E7" s="540"/>
      <c r="F7" s="522"/>
      <c r="G7" s="518"/>
      <c r="H7" s="540"/>
      <c r="I7" s="522"/>
      <c r="J7" s="518"/>
      <c r="K7" s="540"/>
      <c r="L7" s="522"/>
      <c r="M7" s="518"/>
    </row>
    <row r="8" spans="1:13" x14ac:dyDescent="0.2">
      <c r="A8" s="8" t="s">
        <v>7</v>
      </c>
      <c r="B8" s="13">
        <f>72994458+80827401</f>
        <v>153821859</v>
      </c>
      <c r="C8" s="23">
        <f>C20/12</f>
        <v>96342833.333333328</v>
      </c>
      <c r="D8" s="12">
        <f>B8-C8</f>
        <v>57479025.666666672</v>
      </c>
      <c r="E8" s="22">
        <f>5205560+5764161</f>
        <v>10969721</v>
      </c>
      <c r="F8" s="23">
        <f>F20/12</f>
        <v>6880916.666666667</v>
      </c>
      <c r="G8" s="12">
        <f>E8-F8</f>
        <v>4088804.333333333</v>
      </c>
      <c r="H8" s="22">
        <f>82.8+1276466.49+562.5+363832.02</f>
        <v>1640943.81</v>
      </c>
      <c r="I8" s="23">
        <f>I20/12</f>
        <v>2042166.6666666667</v>
      </c>
      <c r="J8" s="24">
        <f>H8-I8</f>
        <v>-401222.85666666669</v>
      </c>
      <c r="K8" s="22">
        <f>8944725+611033</f>
        <v>9555758</v>
      </c>
      <c r="L8" s="23">
        <f>L20/12</f>
        <v>1584083.3333333333</v>
      </c>
      <c r="M8" s="24">
        <f>K8-L8</f>
        <v>7971674.666666667</v>
      </c>
    </row>
    <row r="9" spans="1:13" x14ac:dyDescent="0.2">
      <c r="A9" s="9" t="s">
        <v>8</v>
      </c>
      <c r="B9" s="10">
        <f>46707394+60791209</f>
        <v>107498603</v>
      </c>
      <c r="C9" s="11">
        <f>C8*2</f>
        <v>192685666.66666666</v>
      </c>
      <c r="D9" s="12">
        <f>SUM(B8+B9)-C9</f>
        <v>68634795.333333343</v>
      </c>
      <c r="E9" s="13">
        <f>3330912+4335292</f>
        <v>7666204</v>
      </c>
      <c r="F9" s="11">
        <f>F8*2</f>
        <v>13761833.333333334</v>
      </c>
      <c r="G9" s="12">
        <f>SUM(E8+E9)-F9</f>
        <v>4874091.666666666</v>
      </c>
      <c r="H9" s="13">
        <f>1351+285118+136824.21+3025.8+148222</f>
        <v>574541.01</v>
      </c>
      <c r="I9" s="11">
        <f>I8*2</f>
        <v>4084333.3333333335</v>
      </c>
      <c r="J9" s="12">
        <f>SUM(H8+H9)-I9</f>
        <v>-1868848.5133333332</v>
      </c>
      <c r="K9" s="10">
        <f>569327+631165</f>
        <v>1200492</v>
      </c>
      <c r="L9" s="11">
        <f>L8*2</f>
        <v>3168166.6666666665</v>
      </c>
      <c r="M9" s="12">
        <f>SUM(K8+K9)-L9</f>
        <v>7588083.333333334</v>
      </c>
    </row>
    <row r="10" spans="1:13" x14ac:dyDescent="0.2">
      <c r="A10" s="9" t="s">
        <v>9</v>
      </c>
      <c r="B10" s="10">
        <f>35027344+9443938+37961886</f>
        <v>82433168</v>
      </c>
      <c r="C10" s="11">
        <f>C8*3</f>
        <v>289028500</v>
      </c>
      <c r="D10" s="12">
        <f>SUM(B8+B9+B10)-C10</f>
        <v>54725130</v>
      </c>
      <c r="E10" s="13">
        <f>2497956+673489+2707231</f>
        <v>5878676</v>
      </c>
      <c r="F10" s="14">
        <f>F8*3</f>
        <v>20642750</v>
      </c>
      <c r="G10" s="12">
        <f>SUM(E8+E9+E10)-F10</f>
        <v>3871851</v>
      </c>
      <c r="H10" s="13">
        <f>374412.09+164468+38742+2343.27+2700</f>
        <v>582665.3600000001</v>
      </c>
      <c r="I10" s="14">
        <f>I8*3</f>
        <v>6126500</v>
      </c>
      <c r="J10" s="12">
        <f>SUM(H8+H9+H10)-I10</f>
        <v>-3328349.8199999994</v>
      </c>
      <c r="K10" s="10">
        <f>1272806+1538995</f>
        <v>2811801</v>
      </c>
      <c r="L10" s="14">
        <f>L8*3</f>
        <v>4752250</v>
      </c>
      <c r="M10" s="12">
        <f>SUM(K8+K9+K10)-L10</f>
        <v>8815801</v>
      </c>
    </row>
    <row r="11" spans="1:13" x14ac:dyDescent="0.2">
      <c r="A11" s="9" t="s">
        <v>10</v>
      </c>
      <c r="B11" s="10">
        <f>27366917+40494362</f>
        <v>67861279</v>
      </c>
      <c r="C11" s="11">
        <f>C8*4</f>
        <v>385371333.33333331</v>
      </c>
      <c r="D11" s="12">
        <f>SUM(B8+B9+B10+B11)-C11</f>
        <v>26243575.666666687</v>
      </c>
      <c r="E11" s="13">
        <f>1951657+2887833</f>
        <v>4839490</v>
      </c>
      <c r="F11" s="11">
        <f>F8*4</f>
        <v>27523666.666666668</v>
      </c>
      <c r="G11" s="12">
        <f>SUM(E8+E9+E10+E11)-F11</f>
        <v>1830424.3333333321</v>
      </c>
      <c r="H11" s="13">
        <f>2112+13505+1063</f>
        <v>16680</v>
      </c>
      <c r="I11" s="11">
        <f>I8*4</f>
        <v>8168666.666666667</v>
      </c>
      <c r="J11" s="12">
        <f>SUM(H8+H9+H10+H11)-I11</f>
        <v>-5353836.4866666663</v>
      </c>
      <c r="K11" s="10">
        <v>0</v>
      </c>
      <c r="L11" s="11">
        <f>L8*4</f>
        <v>6336333.333333333</v>
      </c>
      <c r="M11" s="12">
        <f>SUM(K8+K9+K10+K11)-L11</f>
        <v>7231717.666666667</v>
      </c>
    </row>
    <row r="12" spans="1:13" x14ac:dyDescent="0.2">
      <c r="A12" s="9" t="s">
        <v>11</v>
      </c>
      <c r="B12" s="10">
        <f>21233267+57894146</f>
        <v>79127413</v>
      </c>
      <c r="C12" s="11">
        <f>C8*5</f>
        <v>481714166.66666663</v>
      </c>
      <c r="D12" s="12">
        <f>SUM(B8+B9+B10+B11+B12)-C12</f>
        <v>9028155.3333333731</v>
      </c>
      <c r="E12" s="13">
        <f>1514239+4128689</f>
        <v>5642928</v>
      </c>
      <c r="F12" s="11">
        <f>F8*5</f>
        <v>34404583.333333336</v>
      </c>
      <c r="G12" s="12">
        <f>SUM(E8+E9+E10+E11+E12)-F12</f>
        <v>592435.66666666418</v>
      </c>
      <c r="H12" s="13">
        <f>11845.39+9126+6021+9728+31659.3+34180.26</f>
        <v>102559.95000000001</v>
      </c>
      <c r="I12" s="11">
        <f>I8*5</f>
        <v>10210833.333333334</v>
      </c>
      <c r="J12" s="12">
        <f>SUM(H8+H9+H10+H11+H12)-I12</f>
        <v>-7293443.2033333331</v>
      </c>
      <c r="K12" s="10">
        <v>0</v>
      </c>
      <c r="L12" s="11">
        <f>L8*5</f>
        <v>7920416.666666666</v>
      </c>
      <c r="M12" s="12">
        <f>SUM(K8+K9+K10+K11+K12)-L12</f>
        <v>5647634.333333334</v>
      </c>
    </row>
    <row r="13" spans="1:13" x14ac:dyDescent="0.2">
      <c r="A13" s="9" t="s">
        <v>12</v>
      </c>
      <c r="B13" s="10">
        <f>35077847+66021743</f>
        <v>101099590</v>
      </c>
      <c r="C13" s="11">
        <f>C8*6</f>
        <v>578057000</v>
      </c>
      <c r="D13" s="12">
        <f>SUM(B8+B9+B10+B11+B12+B13)-C13</f>
        <v>13784912</v>
      </c>
      <c r="E13" s="13">
        <f>2501558+4708304</f>
        <v>7209862</v>
      </c>
      <c r="F13" s="11">
        <f>F8*6</f>
        <v>41285500</v>
      </c>
      <c r="G13" s="12">
        <f>SUM(E8+E9+E10+E11+E12+E13)-F13</f>
        <v>921381</v>
      </c>
      <c r="H13" s="13">
        <f>3+221578.5+1003444.88</f>
        <v>1225026.3799999999</v>
      </c>
      <c r="I13" s="11">
        <f>I8*6</f>
        <v>12253000</v>
      </c>
      <c r="J13" s="12">
        <f>SUM(H8+H9+H10+H11+H12+H13)-I13</f>
        <v>-8110583.4899999993</v>
      </c>
      <c r="K13" s="10">
        <v>0</v>
      </c>
      <c r="L13" s="11">
        <f>L8*6</f>
        <v>9504500</v>
      </c>
      <c r="M13" s="12">
        <f>SUM(K8+K9+K10+K11+K12+K13)-L13</f>
        <v>4063551</v>
      </c>
    </row>
    <row r="14" spans="1:13" x14ac:dyDescent="0.2">
      <c r="A14" s="9" t="s">
        <v>13</v>
      </c>
      <c r="B14" s="10">
        <f>37513643+59900414</f>
        <v>97414057</v>
      </c>
      <c r="C14" s="11">
        <f>C8*7</f>
        <v>674399833.33333325</v>
      </c>
      <c r="D14" s="12">
        <f>SUM(B8+B9+B10+B11+B12+B13+B14)-C14</f>
        <v>14856135.666666746</v>
      </c>
      <c r="E14" s="13">
        <f>2675265+4271765</f>
        <v>6947030</v>
      </c>
      <c r="F14" s="11">
        <f>F8*7</f>
        <v>48166416.666666672</v>
      </c>
      <c r="G14" s="12">
        <f>SUM(E8+E9+E10+E11+E12+E13+E14)-F14</f>
        <v>987494.33333332837</v>
      </c>
      <c r="H14" s="13">
        <f>163513+3809.35+750+209791.45+150+612177.86+10011.2+4221</f>
        <v>1004423.86</v>
      </c>
      <c r="I14" s="11">
        <f>I8*7</f>
        <v>14295166.666666668</v>
      </c>
      <c r="J14" s="12">
        <f>SUM(H8+H9+H10+H11+H12+H13+H14)-I14</f>
        <v>-9148326.2966666669</v>
      </c>
      <c r="K14" s="10">
        <v>0</v>
      </c>
      <c r="L14" s="11">
        <f>L8*7</f>
        <v>11088583.333333332</v>
      </c>
      <c r="M14" s="12">
        <f>SUM(K8+K9+K10+K11+K12+K13+K14)-L14</f>
        <v>2479467.6666666679</v>
      </c>
    </row>
    <row r="15" spans="1:13" x14ac:dyDescent="0.2">
      <c r="A15" s="9" t="s">
        <v>14</v>
      </c>
      <c r="B15" s="10">
        <f>42122311+65554792</f>
        <v>107677103</v>
      </c>
      <c r="C15" s="11">
        <f>C8*8</f>
        <v>770742666.66666663</v>
      </c>
      <c r="D15" s="12">
        <f>SUM(B8+B9+B10+B11+B12+B13+B14+B15)-C15</f>
        <v>26190405.333333373</v>
      </c>
      <c r="E15" s="13">
        <f>3003930+4675004</f>
        <v>7678934</v>
      </c>
      <c r="F15" s="11">
        <f>F8*8</f>
        <v>55047333.333333336</v>
      </c>
      <c r="G15" s="12">
        <f>SUM(E8+E9+E10+E11+E12+E13+E14+E15)-F15</f>
        <v>1785511.6666666642</v>
      </c>
      <c r="H15" s="13">
        <f>564874.02+1183.5+2742.3+19912.85+29211</f>
        <v>617923.67000000004</v>
      </c>
      <c r="I15" s="11">
        <f>I8*8</f>
        <v>16337333.333333334</v>
      </c>
      <c r="J15" s="12">
        <f>SUM(H8+H9+H10+H11+H12+H13+H14+H15)-I15</f>
        <v>-10572569.293333333</v>
      </c>
      <c r="K15" s="10">
        <v>0</v>
      </c>
      <c r="L15" s="11">
        <f>L8*8</f>
        <v>12672666.666666666</v>
      </c>
      <c r="M15" s="12">
        <f>SUM(K8+K9+K10+K11+K12+K13+K14+K15)-L15</f>
        <v>895384.33333333395</v>
      </c>
    </row>
    <row r="16" spans="1:13" x14ac:dyDescent="0.2">
      <c r="A16" s="9" t="s">
        <v>15</v>
      </c>
      <c r="B16" s="10">
        <f>24131439.23+52846780</f>
        <v>76978219.230000004</v>
      </c>
      <c r="C16" s="11">
        <f>C8*9</f>
        <v>867085500</v>
      </c>
      <c r="D16" s="12">
        <f>SUM(B8+B9+B10+B11+B12+B13+B14+B15+B16)-C16</f>
        <v>6825791.2300000191</v>
      </c>
      <c r="E16" s="13">
        <f>2612384</f>
        <v>2612384</v>
      </c>
      <c r="F16" s="11">
        <f>F8*9</f>
        <v>61928250</v>
      </c>
      <c r="G16" s="12">
        <f>SUM(E8+E9+E10+E11+E12+E13+E14+E15+E16)-F16</f>
        <v>-2483021</v>
      </c>
      <c r="H16" s="13">
        <f>2641.35+304326.66+2079.6+10070.4+2946+4593228.07</f>
        <v>4915292.08</v>
      </c>
      <c r="I16" s="11">
        <f>I8*9</f>
        <v>18379500</v>
      </c>
      <c r="J16" s="12">
        <f>SUM(H8+H9+H10+H11+H12+H13+H14+H15+H16)-I16</f>
        <v>-7699443.879999999</v>
      </c>
      <c r="K16" s="10">
        <v>0</v>
      </c>
      <c r="L16" s="11">
        <f>L8*9</f>
        <v>14256750</v>
      </c>
      <c r="M16" s="12">
        <f>SUM(K8+K9+K10+K11+K12+K13+K14+K15+K16)-L16</f>
        <v>-688699</v>
      </c>
    </row>
    <row r="17" spans="1:13" x14ac:dyDescent="0.2">
      <c r="A17" s="9" t="s">
        <v>16</v>
      </c>
      <c r="B17" s="10">
        <f>34760058.86+59392417</f>
        <v>94152475.859999999</v>
      </c>
      <c r="C17" s="11">
        <f>C8*10</f>
        <v>963428333.33333325</v>
      </c>
      <c r="D17" s="12">
        <f>SUM(B8+B9+B10+B11+B12+B13+B14+B15+B16+B17)-C17</f>
        <v>4635433.7566667795</v>
      </c>
      <c r="E17" s="13">
        <f>1610350+3894050</f>
        <v>5504400</v>
      </c>
      <c r="F17" s="11">
        <f>F8*10</f>
        <v>68809166.666666672</v>
      </c>
      <c r="G17" s="12">
        <f>SUM(E8+E9+E10+E11+E12+E13+E14+E15+E16+E17)-F17</f>
        <v>-3859537.6666666716</v>
      </c>
      <c r="H17" s="13">
        <f>990+2.03+1266277.53+1041.6+750+22604.4+99863.55+17618.29</f>
        <v>1409147.4000000001</v>
      </c>
      <c r="I17" s="11">
        <f>I8*10</f>
        <v>20421666.666666668</v>
      </c>
      <c r="J17" s="12">
        <f>SUM(H8+H9+H10+H11+H12+H13+H14+H15+H16+H17)-I17</f>
        <v>-8332463.1466666665</v>
      </c>
      <c r="K17" s="10">
        <v>0</v>
      </c>
      <c r="L17" s="11">
        <f>L8*10</f>
        <v>15840833.333333332</v>
      </c>
      <c r="M17" s="12">
        <f>SUM(K8+K9+K10+K11+K12+K13+K14+K15+K16+K17)-L17</f>
        <v>-2272782.3333333321</v>
      </c>
    </row>
    <row r="18" spans="1:13" x14ac:dyDescent="0.2">
      <c r="A18" s="9" t="s">
        <v>17</v>
      </c>
      <c r="B18" s="10">
        <f>36781283+68511823.4</f>
        <v>105293106.40000001</v>
      </c>
      <c r="C18" s="11">
        <f>C8*11</f>
        <v>1059771166.6666666</v>
      </c>
      <c r="D18" s="12">
        <f>SUM(B8+B9+B10+B11+B12+B13+B14+B15+B16+B17+B18)-C18</f>
        <v>13585706.823333383</v>
      </c>
      <c r="E18" s="13">
        <f>2411556+4288339</f>
        <v>6699895</v>
      </c>
      <c r="F18" s="11">
        <f>F8*11</f>
        <v>75690083.333333343</v>
      </c>
      <c r="G18" s="12">
        <f>SUM(E8+E9+E10+E11+E12+E13+E14+E15+E16+E17+E18)-F18</f>
        <v>-4040559.3333333433</v>
      </c>
      <c r="H18" s="13">
        <f>3377+1129076.9+1996.15+549655.72+1041.6+12381.3</f>
        <v>1697528.67</v>
      </c>
      <c r="I18" s="11">
        <f>I8*11</f>
        <v>22463833.333333336</v>
      </c>
      <c r="J18" s="12">
        <f>SUM(H8+H9+H10+H11+H12+H13+H14+H15+H16+H17+H18)-I18</f>
        <v>-8677101.1433333345</v>
      </c>
      <c r="K18" s="10">
        <f>199096+581416</f>
        <v>780512</v>
      </c>
      <c r="L18" s="11">
        <f>L8*11</f>
        <v>17424916.666666664</v>
      </c>
      <c r="M18" s="12">
        <f>SUM(K8+K9+K10+K11+K12+K13+K14+K15+K16+K17+K18)-L18</f>
        <v>-3076353.6666666642</v>
      </c>
    </row>
    <row r="19" spans="1:13" ht="13.5" thickBot="1" x14ac:dyDescent="0.25">
      <c r="A19" s="49" t="s">
        <v>18</v>
      </c>
      <c r="B19" s="40">
        <f>38536091+58953206.73</f>
        <v>97489297.729999989</v>
      </c>
      <c r="C19" s="41">
        <f>C8*12</f>
        <v>1156114000</v>
      </c>
      <c r="D19" s="12">
        <f>SUM(B8+B9+B10+B11+B12+B13+B14+B15+B16+B17+B18+B19)-C19</f>
        <v>14732171.220000029</v>
      </c>
      <c r="E19" s="42">
        <f>2526610+3865254.25</f>
        <v>6391864.25</v>
      </c>
      <c r="F19" s="41">
        <f>F8*12</f>
        <v>82571000</v>
      </c>
      <c r="G19" s="12">
        <f>SUM(E8+E9+E10+E11+E12+E13+E14+E15+E16+E17+E18+E19)-F19</f>
        <v>-4529611.75</v>
      </c>
      <c r="H19" s="42">
        <f>345859+111097.12+522.9+95.74+0.15+338441.24+4768552.22+3336508.37</f>
        <v>8901076.7400000002</v>
      </c>
      <c r="I19" s="41">
        <f>I8*12</f>
        <v>24506000</v>
      </c>
      <c r="J19" s="12">
        <f>SUM(H8+H9+H10+H11+H12+H13+H14+H15+H16+H17+H18+H19)-I19</f>
        <v>-1818191.0700000003</v>
      </c>
      <c r="K19" s="40">
        <f>758323+5570975.31</f>
        <v>6329298.3099999996</v>
      </c>
      <c r="L19" s="41">
        <f>L8*12</f>
        <v>19009000</v>
      </c>
      <c r="M19" s="12">
        <f>SUM(K8+K9+K10+K11+K12+K13+K14+K15+K16+K17+K18+K19)-L19</f>
        <v>1668861.3099999987</v>
      </c>
    </row>
    <row r="20" spans="1:13" ht="13.5" thickBot="1" x14ac:dyDescent="0.25">
      <c r="A20" s="15" t="s">
        <v>19</v>
      </c>
      <c r="B20" s="127">
        <f>SUM(B8:B19)</f>
        <v>1170846171.22</v>
      </c>
      <c r="C20" s="16">
        <v>1156114000</v>
      </c>
      <c r="D20" s="17"/>
      <c r="E20" s="127">
        <f>SUM(E8:E19)</f>
        <v>78041388.25</v>
      </c>
      <c r="F20" s="16">
        <v>82571000</v>
      </c>
      <c r="G20" s="18"/>
      <c r="H20" s="127">
        <f>SUM(H8:H19)</f>
        <v>22687808.93</v>
      </c>
      <c r="I20" s="16">
        <v>24506000</v>
      </c>
      <c r="J20" s="18"/>
      <c r="K20" s="127">
        <f>SUM(K8:K19)</f>
        <v>20677861.309999999</v>
      </c>
      <c r="L20" s="16">
        <v>19009000</v>
      </c>
      <c r="M20" s="18"/>
    </row>
    <row r="21" spans="1:13" x14ac:dyDescent="0.2">
      <c r="A21" s="6"/>
      <c r="B21" s="7"/>
      <c r="C21" s="7"/>
      <c r="D21" s="7"/>
      <c r="E21" s="7"/>
      <c r="F21" s="7"/>
      <c r="G21" s="7"/>
      <c r="H21" s="6"/>
      <c r="I21" s="7"/>
      <c r="J21" s="6"/>
      <c r="K21" s="6"/>
      <c r="L21" s="7"/>
      <c r="M21" s="6"/>
    </row>
    <row r="22" spans="1:13" x14ac:dyDescent="0.2">
      <c r="A22" s="6"/>
      <c r="B22" s="7"/>
      <c r="C22" s="7"/>
      <c r="D22" s="7"/>
      <c r="E22" s="52"/>
      <c r="F22" s="7"/>
      <c r="G22" s="7"/>
      <c r="H22" s="6"/>
      <c r="I22" s="7"/>
      <c r="J22" s="51"/>
      <c r="K22" s="6"/>
      <c r="L22" s="7"/>
      <c r="M22" s="6"/>
    </row>
    <row r="23" spans="1:13" ht="13.5" thickBot="1" x14ac:dyDescent="0.25">
      <c r="A23" s="19"/>
      <c r="B23" s="7"/>
      <c r="C23" s="20"/>
      <c r="D23" s="7"/>
      <c r="E23" s="7"/>
      <c r="F23" s="7"/>
      <c r="G23" s="7"/>
      <c r="M23" s="63" t="s">
        <v>26</v>
      </c>
    </row>
    <row r="24" spans="1:13" x14ac:dyDescent="0.2">
      <c r="A24" s="524" t="s">
        <v>2</v>
      </c>
      <c r="B24" s="527" t="s">
        <v>33</v>
      </c>
      <c r="C24" s="528"/>
      <c r="D24" s="529"/>
      <c r="E24" s="533" t="s">
        <v>20</v>
      </c>
      <c r="F24" s="534"/>
      <c r="G24" s="535"/>
      <c r="H24" s="543" t="s">
        <v>21</v>
      </c>
      <c r="I24" s="534"/>
      <c r="J24" s="535"/>
      <c r="K24" s="544" t="s">
        <v>22</v>
      </c>
      <c r="L24" s="534"/>
      <c r="M24" s="535"/>
    </row>
    <row r="25" spans="1:13" ht="13.5" thickBot="1" x14ac:dyDescent="0.25">
      <c r="A25" s="525"/>
      <c r="B25" s="530"/>
      <c r="C25" s="531"/>
      <c r="D25" s="532"/>
      <c r="E25" s="536"/>
      <c r="F25" s="537"/>
      <c r="G25" s="538"/>
      <c r="H25" s="536"/>
      <c r="I25" s="537"/>
      <c r="J25" s="538"/>
      <c r="K25" s="536"/>
      <c r="L25" s="537"/>
      <c r="M25" s="538"/>
    </row>
    <row r="26" spans="1:13" ht="12.75" customHeight="1" x14ac:dyDescent="0.2">
      <c r="A26" s="525"/>
      <c r="B26" s="539" t="s">
        <v>23</v>
      </c>
      <c r="C26" s="521" t="s">
        <v>31</v>
      </c>
      <c r="D26" s="517" t="s">
        <v>32</v>
      </c>
      <c r="E26" s="519" t="s">
        <v>24</v>
      </c>
      <c r="F26" s="521" t="s">
        <v>31</v>
      </c>
      <c r="G26" s="517" t="s">
        <v>32</v>
      </c>
      <c r="H26" s="519" t="s">
        <v>25</v>
      </c>
      <c r="I26" s="521" t="s">
        <v>31</v>
      </c>
      <c r="J26" s="517" t="s">
        <v>32</v>
      </c>
      <c r="K26" s="542" t="s">
        <v>19</v>
      </c>
      <c r="L26" s="521" t="s">
        <v>31</v>
      </c>
      <c r="M26" s="517" t="s">
        <v>32</v>
      </c>
    </row>
    <row r="27" spans="1:13" ht="13.5" thickBot="1" x14ac:dyDescent="0.25">
      <c r="A27" s="526"/>
      <c r="B27" s="540"/>
      <c r="C27" s="522"/>
      <c r="D27" s="518"/>
      <c r="E27" s="520"/>
      <c r="F27" s="522"/>
      <c r="G27" s="518"/>
      <c r="H27" s="520"/>
      <c r="I27" s="523"/>
      <c r="J27" s="518"/>
      <c r="K27" s="540"/>
      <c r="L27" s="522"/>
      <c r="M27" s="518"/>
    </row>
    <row r="28" spans="1:13" x14ac:dyDescent="0.2">
      <c r="A28" s="21" t="s">
        <v>7</v>
      </c>
      <c r="B28" s="22">
        <f>6354517+4390630</f>
        <v>10745147</v>
      </c>
      <c r="C28" s="23">
        <f>C40/12</f>
        <v>9160666.666666666</v>
      </c>
      <c r="D28" s="24">
        <f>B28-C28</f>
        <v>1584480.333333334</v>
      </c>
      <c r="E28" s="25">
        <f>198956474+3067293</f>
        <v>202023767</v>
      </c>
      <c r="F28" s="23">
        <f>F40/12</f>
        <v>96511583.333333328</v>
      </c>
      <c r="G28" s="24">
        <f>E28-F28</f>
        <v>105512183.66666667</v>
      </c>
      <c r="H28" s="26">
        <v>228682755</v>
      </c>
      <c r="I28" s="27">
        <f>I40/12</f>
        <v>234843083.33333334</v>
      </c>
      <c r="J28" s="28">
        <f>H28-I28</f>
        <v>-6160328.3333333433</v>
      </c>
      <c r="K28" s="121">
        <f>SUM($B8+$E8+$H8+$K8+$B28+$E28+$H28)</f>
        <v>617439950.80999994</v>
      </c>
      <c r="L28" s="27">
        <f>L40/12</f>
        <v>447365333.33333331</v>
      </c>
      <c r="M28" s="29">
        <f>K28-L28</f>
        <v>170074617.47666663</v>
      </c>
    </row>
    <row r="29" spans="1:13" x14ac:dyDescent="0.2">
      <c r="A29" s="30" t="s">
        <v>8</v>
      </c>
      <c r="B29" s="10">
        <f>19439509+3332376</f>
        <v>22771885</v>
      </c>
      <c r="C29" s="11">
        <f>C28*2</f>
        <v>18321333.333333332</v>
      </c>
      <c r="D29" s="12">
        <f>SUM(B28+B29)-C29</f>
        <v>15195698.666666668</v>
      </c>
      <c r="E29" s="31">
        <f>2542886+5035309</f>
        <v>7578195</v>
      </c>
      <c r="F29" s="11">
        <f>F28*2</f>
        <v>193023166.66666666</v>
      </c>
      <c r="G29" s="12">
        <f>SUM(E28+E29)-F29</f>
        <v>16578795.333333343</v>
      </c>
      <c r="H29" s="32">
        <v>417718035</v>
      </c>
      <c r="I29" s="14">
        <f>I28*2</f>
        <v>469686166.66666669</v>
      </c>
      <c r="J29" s="12">
        <f>SUM(H28+H29)-I29</f>
        <v>176714623.33333331</v>
      </c>
      <c r="K29" s="122">
        <f t="shared" ref="K29:K40" si="0">SUM($B9+$E9+$H9+$K9+$B29+$E29+$H29)</f>
        <v>565007955.00999999</v>
      </c>
      <c r="L29" s="14">
        <f>L28*2</f>
        <v>894730666.66666663</v>
      </c>
      <c r="M29" s="12">
        <f>SUM(K28+K29)-L29</f>
        <v>287717239.15333331</v>
      </c>
    </row>
    <row r="30" spans="1:13" x14ac:dyDescent="0.2">
      <c r="A30" s="30" t="s">
        <v>9</v>
      </c>
      <c r="B30" s="10">
        <f>3468176+1714448+1805463</f>
        <v>6988087</v>
      </c>
      <c r="C30" s="14">
        <f>C28*3</f>
        <v>27482000</v>
      </c>
      <c r="D30" s="12">
        <f>SUM(B28+B29+B30)-C30</f>
        <v>13023119</v>
      </c>
      <c r="E30" s="33">
        <f>3891497+6765367+215490120</f>
        <v>226146984</v>
      </c>
      <c r="F30" s="14">
        <f>F28*3</f>
        <v>289534750</v>
      </c>
      <c r="G30" s="12">
        <f>SUM(E28+E29+E30)-F30</f>
        <v>146214196</v>
      </c>
      <c r="H30" s="32">
        <v>0</v>
      </c>
      <c r="I30" s="14">
        <f>I28*3</f>
        <v>704529250</v>
      </c>
      <c r="J30" s="12">
        <f>SUM(H28+H29+H30)-I30</f>
        <v>-58128460</v>
      </c>
      <c r="K30" s="123">
        <f t="shared" si="0"/>
        <v>324841381.36000001</v>
      </c>
      <c r="L30" s="14">
        <f>L28*3</f>
        <v>1342096000</v>
      </c>
      <c r="M30" s="12">
        <f>SUM(K28+K29+K30)-L30</f>
        <v>165193287.17999983</v>
      </c>
    </row>
    <row r="31" spans="1:13" x14ac:dyDescent="0.2">
      <c r="A31" s="30" t="s">
        <v>10</v>
      </c>
      <c r="B31" s="10">
        <f>3765961+3588161</f>
        <v>7354122</v>
      </c>
      <c r="C31" s="11">
        <f>C28*4</f>
        <v>36642666.666666664</v>
      </c>
      <c r="D31" s="12">
        <f>SUM(B28+B29+B30+B31)-C31</f>
        <v>11216574.333333336</v>
      </c>
      <c r="E31" s="31">
        <f>45621507+14021938</f>
        <v>59643445</v>
      </c>
      <c r="F31" s="11">
        <f>F28*4</f>
        <v>386046333.33333331</v>
      </c>
      <c r="G31" s="12">
        <f>SUM(E28+E29+E30+E31)-F31</f>
        <v>109346057.66666669</v>
      </c>
      <c r="H31" s="34">
        <f>123202863</f>
        <v>123202863</v>
      </c>
      <c r="I31" s="11">
        <f>I28*4</f>
        <v>939372333.33333337</v>
      </c>
      <c r="J31" s="12">
        <f>SUM(H28+H29+H30+H31)-I31</f>
        <v>-169768680.33333337</v>
      </c>
      <c r="K31" s="124">
        <f t="shared" si="0"/>
        <v>262917879</v>
      </c>
      <c r="L31" s="11">
        <f>L28*4</f>
        <v>1789461333.3333333</v>
      </c>
      <c r="M31" s="12">
        <f>SUM(K28+K29+K30+K31)-L31</f>
        <v>-19254167.153333426</v>
      </c>
    </row>
    <row r="32" spans="1:13" x14ac:dyDescent="0.2">
      <c r="A32" s="30" t="s">
        <v>11</v>
      </c>
      <c r="B32" s="10">
        <f>6175565+3736238</f>
        <v>9911803</v>
      </c>
      <c r="C32" s="11">
        <f>C28*5</f>
        <v>45803333.333333328</v>
      </c>
      <c r="D32" s="12">
        <f>SUM(B28+B29+B30+B31+B32)-C32</f>
        <v>11967710.666666672</v>
      </c>
      <c r="E32" s="33">
        <v>0</v>
      </c>
      <c r="F32" s="11">
        <f>F28*5</f>
        <v>482557916.66666663</v>
      </c>
      <c r="G32" s="12">
        <f>SUM(E28+E29+E30+E31+E32)-F32</f>
        <v>12834474.333333373</v>
      </c>
      <c r="H32" s="34">
        <v>389946359</v>
      </c>
      <c r="I32" s="11">
        <f>I28*5</f>
        <v>1174215416.6666667</v>
      </c>
      <c r="J32" s="12">
        <f>SUM(H28+H29+H30+H31+H32)-I32</f>
        <v>-14665404.666666746</v>
      </c>
      <c r="K32" s="124">
        <f t="shared" si="0"/>
        <v>484731062.94999999</v>
      </c>
      <c r="L32" s="11">
        <f>L28*5</f>
        <v>2236826666.6666665</v>
      </c>
      <c r="M32" s="12">
        <f>SUM(K28+K29+K30+K31+K32)-L32</f>
        <v>18111562.46333313</v>
      </c>
    </row>
    <row r="33" spans="1:13" x14ac:dyDescent="0.2">
      <c r="A33" s="30" t="s">
        <v>12</v>
      </c>
      <c r="B33" s="10">
        <f>5009277+3317877</f>
        <v>8327154</v>
      </c>
      <c r="C33" s="11">
        <f>C28*6</f>
        <v>54964000</v>
      </c>
      <c r="D33" s="12">
        <f>SUM(B28+B29+B30+B31+B32+B33)-C33</f>
        <v>11134198</v>
      </c>
      <c r="E33" s="31">
        <f>1349118+231346440</f>
        <v>232695558</v>
      </c>
      <c r="F33" s="11">
        <f>F28*6</f>
        <v>579069500</v>
      </c>
      <c r="G33" s="12">
        <f>SUM(E28+E29+E30+E31+E32+E33)-F33</f>
        <v>149018449</v>
      </c>
      <c r="H33" s="34">
        <f>43988692</f>
        <v>43988692</v>
      </c>
      <c r="I33" s="11">
        <f>I28*6</f>
        <v>1409058500</v>
      </c>
      <c r="J33" s="12">
        <f>SUM(H28+H29+H30+H31+H32+H33)-I33</f>
        <v>-205519796</v>
      </c>
      <c r="K33" s="124">
        <f t="shared" si="0"/>
        <v>394545882.38</v>
      </c>
      <c r="L33" s="11">
        <f>L28*6</f>
        <v>2684192000</v>
      </c>
      <c r="M33" s="12">
        <f>SUM(K28+K29+K30+K31+K32+K33)-L33</f>
        <v>-34707888.490000248</v>
      </c>
    </row>
    <row r="34" spans="1:13" x14ac:dyDescent="0.2">
      <c r="A34" s="30" t="s">
        <v>13</v>
      </c>
      <c r="B34" s="10">
        <f>6634382+4659139</f>
        <v>11293521</v>
      </c>
      <c r="C34" s="11">
        <f>C28*7</f>
        <v>64124666.666666664</v>
      </c>
      <c r="D34" s="12">
        <f>SUM(B28+B29+B30+B31+B32+B33+B34)-C34</f>
        <v>13267052.333333336</v>
      </c>
      <c r="E34" s="33">
        <f>146942706+105655072</f>
        <v>252597778</v>
      </c>
      <c r="F34" s="11">
        <f>F28*7</f>
        <v>675581083.33333325</v>
      </c>
      <c r="G34" s="12">
        <f>SUM(E28+E29+E30+E31+E32+E33+E34)-F34</f>
        <v>305104643.66666675</v>
      </c>
      <c r="H34" s="34">
        <f>212410565</f>
        <v>212410565</v>
      </c>
      <c r="I34" s="11">
        <f>I28*7</f>
        <v>1643901583.3333335</v>
      </c>
      <c r="J34" s="12">
        <f>SUM(H28+H29+H30+H31+H32+H33+H34)-I34</f>
        <v>-227952314.33333349</v>
      </c>
      <c r="K34" s="124">
        <f t="shared" si="0"/>
        <v>581667374.86000001</v>
      </c>
      <c r="L34" s="11">
        <f>L28*7</f>
        <v>3131557333.333333</v>
      </c>
      <c r="M34" s="12">
        <f>SUM(K28+K29+K30+K31+K32+K33+K34)-L34</f>
        <v>99594153.03666687</v>
      </c>
    </row>
    <row r="35" spans="1:13" x14ac:dyDescent="0.2">
      <c r="A35" s="30" t="s">
        <v>14</v>
      </c>
      <c r="B35" s="10">
        <f>8857493+4138674</f>
        <v>12996167</v>
      </c>
      <c r="C35" s="11">
        <f>C28*8</f>
        <v>73285333.333333328</v>
      </c>
      <c r="D35" s="12">
        <f>SUM(B28+B29+B30+B31+B32+B33+B34+B35)-C35</f>
        <v>17102552.666666672</v>
      </c>
      <c r="E35" s="31">
        <v>0</v>
      </c>
      <c r="F35" s="11">
        <f>F28*8</f>
        <v>772092666.66666663</v>
      </c>
      <c r="G35" s="12">
        <f>SUM(E28+E29+E30+E31+E32+E33+E34+E35)-F35</f>
        <v>208593060.33333337</v>
      </c>
      <c r="H35" s="34">
        <f>392955389+5220891</f>
        <v>398176280</v>
      </c>
      <c r="I35" s="11">
        <f>I28*8</f>
        <v>1878744666.6666667</v>
      </c>
      <c r="J35" s="12">
        <f>SUM(H28+H29+H30+H31+H32+H33+H34+H35)-I35</f>
        <v>-64619117.666666746</v>
      </c>
      <c r="K35" s="124">
        <f t="shared" si="0"/>
        <v>527146407.67000002</v>
      </c>
      <c r="L35" s="11">
        <f>L28*8</f>
        <v>3578922666.6666665</v>
      </c>
      <c r="M35" s="12">
        <f>SUM(K28+K29+K30+K31+K32+K33+K34+K35)-L35</f>
        <v>179375227.37333345</v>
      </c>
    </row>
    <row r="36" spans="1:13" x14ac:dyDescent="0.2">
      <c r="A36" s="30" t="s">
        <v>15</v>
      </c>
      <c r="B36" s="10">
        <f>7985023+2757425</f>
        <v>10742448</v>
      </c>
      <c r="C36" s="11">
        <f>C28*9</f>
        <v>82446000</v>
      </c>
      <c r="D36" s="12">
        <f>SUM(B28+B29+B30+B31+B32+B33+B34+B35+B36)-C36</f>
        <v>18684334</v>
      </c>
      <c r="E36" s="33">
        <f>92887000</f>
        <v>92887000</v>
      </c>
      <c r="F36" s="11">
        <f>F28*9</f>
        <v>868604250</v>
      </c>
      <c r="G36" s="12">
        <f>SUM(E28+E29+E30+E31+E32+E33+E34+E35+E36)-F36</f>
        <v>204968477</v>
      </c>
      <c r="H36" s="34">
        <f>57432142</f>
        <v>57432142</v>
      </c>
      <c r="I36" s="11">
        <f>I28*9</f>
        <v>2113587750</v>
      </c>
      <c r="J36" s="12">
        <f>SUM(H28+H29+H30+H31+H32+H33+H34+H35+H36)-I36</f>
        <v>-242030059</v>
      </c>
      <c r="K36" s="124">
        <f t="shared" si="0"/>
        <v>245567485.31</v>
      </c>
      <c r="L36" s="11">
        <f>L28*9</f>
        <v>4026288000</v>
      </c>
      <c r="M36" s="12">
        <f>SUM(K28+K29+K30+K31+K32+K33+K34+K35+K36)-L36</f>
        <v>-22422620.650000095</v>
      </c>
    </row>
    <row r="37" spans="1:13" x14ac:dyDescent="0.2">
      <c r="A37" s="30" t="s">
        <v>16</v>
      </c>
      <c r="B37" s="10">
        <f>5263526+4141017</f>
        <v>9404543</v>
      </c>
      <c r="C37" s="11">
        <f>C28*10</f>
        <v>91606666.666666657</v>
      </c>
      <c r="D37" s="12">
        <f>SUM(B28+B29+B30+B31+B32+B33+B34+B35+B36+B37)-C37</f>
        <v>18928210.333333343</v>
      </c>
      <c r="E37" s="31">
        <f>122563191+7171030</f>
        <v>129734221</v>
      </c>
      <c r="F37" s="11">
        <f>F28*10</f>
        <v>965115833.33333325</v>
      </c>
      <c r="G37" s="12">
        <f>SUM(E28+E29+E30+E31+E32+E33+E34+E35+E36+E37)-F37</f>
        <v>238191114.66666675</v>
      </c>
      <c r="H37" s="34">
        <f>186954810+5911718</f>
        <v>192866528</v>
      </c>
      <c r="I37" s="11">
        <f>I28*10</f>
        <v>2348430833.3333335</v>
      </c>
      <c r="J37" s="12">
        <f>SUM(H28+H29+H30+H31+H32+H33+H34+H35+H36+H37)-I37</f>
        <v>-284006614.33333349</v>
      </c>
      <c r="K37" s="124">
        <f t="shared" si="0"/>
        <v>433071315.25999999</v>
      </c>
      <c r="L37" s="11">
        <f>L28*10</f>
        <v>4473653333.333333</v>
      </c>
      <c r="M37" s="12">
        <f>SUM(K28+K29+K30+K31+K32+K33+K34+K35+K36+K37)-L37</f>
        <v>-36716638.723333359</v>
      </c>
    </row>
    <row r="38" spans="1:13" x14ac:dyDescent="0.2">
      <c r="A38" s="30" t="s">
        <v>17</v>
      </c>
      <c r="B38" s="10">
        <f>7401221+3624401</f>
        <v>11025622</v>
      </c>
      <c r="C38" s="11">
        <f>C28*11</f>
        <v>100767333.33333333</v>
      </c>
      <c r="D38" s="12">
        <f>SUM(B28+B29+B30+B31+B32+B33+B34+B35+B36+B37+B38)-C38</f>
        <v>20793165.666666672</v>
      </c>
      <c r="E38" s="31">
        <f>5790173+5199229</f>
        <v>10989402</v>
      </c>
      <c r="F38" s="11">
        <f>F28*11</f>
        <v>1061627416.6666666</v>
      </c>
      <c r="G38" s="12">
        <f>SUM(E28+E29+E30+E31+E32+E33+E34+E35+E36+E37+E38)-F38</f>
        <v>152668933.33333337</v>
      </c>
      <c r="H38" s="34">
        <f>397869934</f>
        <v>397869934</v>
      </c>
      <c r="I38" s="11">
        <f>I28*11</f>
        <v>2583273916.666667</v>
      </c>
      <c r="J38" s="12">
        <f>SUM(H28+H29+H30+H31+H32+H33+H34+H35+H36+H37+H38)-I38</f>
        <v>-120979763.66666698</v>
      </c>
      <c r="K38" s="124">
        <f t="shared" si="0"/>
        <v>534356000.06999999</v>
      </c>
      <c r="L38" s="11">
        <f>L28*11</f>
        <v>4921018666.666666</v>
      </c>
      <c r="M38" s="12">
        <f>SUM(K28+K29+K30+K31+K32+K33+K34+K35+K36+K37+K38)-L38</f>
        <v>50274028.013333321</v>
      </c>
    </row>
    <row r="39" spans="1:13" ht="13.5" thickBot="1" x14ac:dyDescent="0.25">
      <c r="A39" s="50" t="s">
        <v>18</v>
      </c>
      <c r="B39" s="43">
        <f>4514613+3384153.11</f>
        <v>7898766.1099999994</v>
      </c>
      <c r="C39" s="41">
        <f>C28*12</f>
        <v>109928000</v>
      </c>
      <c r="D39" s="12">
        <f>SUM(B28+B29+B30+B31+B32+B33+B34+B35+B36+B37+B38+B39)-C39</f>
        <v>19531265.109999999</v>
      </c>
      <c r="E39" s="44">
        <f>5853551+50910870.39</f>
        <v>56764421.390000001</v>
      </c>
      <c r="F39" s="41">
        <f>F28*12</f>
        <v>1158139000</v>
      </c>
      <c r="G39" s="45">
        <f>SUM(E28+E29+E30+E31+E32+E33+E34+E35+E36+E37+E38+E39)-F39</f>
        <v>112921771.3900001</v>
      </c>
      <c r="H39" s="46">
        <f>102867119</f>
        <v>102867119</v>
      </c>
      <c r="I39" s="41">
        <f>I28*12</f>
        <v>2818117000</v>
      </c>
      <c r="J39" s="12">
        <f>SUM(H28+H29+H30+H31+H32+H33+H34+H35+H36+H37+H38+H39)-I39</f>
        <v>-252955728</v>
      </c>
      <c r="K39" s="125">
        <f t="shared" si="0"/>
        <v>286641843.52999997</v>
      </c>
      <c r="L39" s="47">
        <f>L28*12</f>
        <v>5368384000</v>
      </c>
      <c r="M39" s="48">
        <f>SUM(K28+K29+K30+K31+K32+K33+K34+K35+K36+K37+K38+K39)-L39</f>
        <v>-110449461.79000092</v>
      </c>
    </row>
    <row r="40" spans="1:13" ht="13.5" thickBot="1" x14ac:dyDescent="0.25">
      <c r="A40" s="15" t="s">
        <v>19</v>
      </c>
      <c r="B40" s="127">
        <f>SUM(B28:B39)</f>
        <v>129459265.11</v>
      </c>
      <c r="C40" s="16">
        <v>109928000</v>
      </c>
      <c r="D40" s="18"/>
      <c r="E40" s="128">
        <f>SUM(E28:E39)</f>
        <v>1271060771.3900001</v>
      </c>
      <c r="F40" s="35">
        <v>1158139000</v>
      </c>
      <c r="G40" s="36"/>
      <c r="H40" s="127">
        <f>SUM(H28:H39)</f>
        <v>2565161272</v>
      </c>
      <c r="I40" s="16">
        <v>2818117000</v>
      </c>
      <c r="J40" s="37"/>
      <c r="K40" s="126">
        <f t="shared" si="0"/>
        <v>5257934538.21</v>
      </c>
      <c r="L40" s="38">
        <f>SUM(F20+I20+L20+N20+F40+I40+C20+C40)</f>
        <v>5368384000</v>
      </c>
      <c r="M40" s="39"/>
    </row>
    <row r="41" spans="1:13" x14ac:dyDescent="0.2">
      <c r="A41" s="19"/>
      <c r="B41" s="7"/>
      <c r="C41" s="7"/>
      <c r="D41" s="7"/>
      <c r="E41" s="7"/>
      <c r="F41" s="7"/>
      <c r="G41" s="7"/>
      <c r="H41" s="6"/>
      <c r="I41" s="7"/>
      <c r="J41" s="7"/>
      <c r="K41" s="7"/>
      <c r="L41" s="7"/>
      <c r="M41" s="7"/>
    </row>
    <row r="42" spans="1:13" x14ac:dyDescent="0.2">
      <c r="A42" s="515"/>
      <c r="B42" s="516"/>
      <c r="C42" s="516"/>
      <c r="D42" s="516"/>
      <c r="E42" s="516"/>
      <c r="F42" s="516"/>
      <c r="G42" s="516"/>
      <c r="H42" s="516"/>
      <c r="I42" s="516"/>
      <c r="J42" s="516"/>
      <c r="K42" s="516"/>
      <c r="L42" s="516"/>
      <c r="M42" s="516"/>
    </row>
    <row r="43" spans="1:13" x14ac:dyDescent="0.2">
      <c r="K43" s="53"/>
      <c r="L43" s="54"/>
    </row>
    <row r="44" spans="1:13" x14ac:dyDescent="0.2">
      <c r="K44" s="53"/>
    </row>
    <row r="45" spans="1:13" x14ac:dyDescent="0.2">
      <c r="K45" s="53"/>
    </row>
    <row r="46" spans="1:13" x14ac:dyDescent="0.2">
      <c r="K46" s="53"/>
    </row>
    <row r="48" spans="1:13" x14ac:dyDescent="0.2">
      <c r="K48" s="55"/>
    </row>
  </sheetData>
  <mergeCells count="37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H6:H7"/>
    <mergeCell ref="I6:I7"/>
    <mergeCell ref="J6:J7"/>
    <mergeCell ref="J26:J27"/>
    <mergeCell ref="K26:K27"/>
    <mergeCell ref="H24:J25"/>
    <mergeCell ref="K24:M25"/>
    <mergeCell ref="L26:L27"/>
    <mergeCell ref="M26:M27"/>
    <mergeCell ref="A42:M42"/>
    <mergeCell ref="D26:D27"/>
    <mergeCell ref="E26:E27"/>
    <mergeCell ref="F26:F27"/>
    <mergeCell ref="G26:G27"/>
    <mergeCell ref="H26:H27"/>
    <mergeCell ref="I26:I27"/>
    <mergeCell ref="A24:A27"/>
    <mergeCell ref="B24:D25"/>
    <mergeCell ref="E24:G25"/>
    <mergeCell ref="B26:B27"/>
    <mergeCell ref="C26:C2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1" tint="4.9989318521683403E-2"/>
    <pageSetUpPr fitToPage="1"/>
  </sheetPr>
  <dimension ref="A1:S72"/>
  <sheetViews>
    <sheetView showGridLines="0" view="pageBreakPreview" zoomScaleNormal="100" zoomScaleSheetLayoutView="100" workbookViewId="0">
      <selection activeCell="K7" sqref="K7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8.5" x14ac:dyDescent="0.45">
      <c r="A1" s="57"/>
      <c r="B1" s="656" t="s">
        <v>99</v>
      </c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7"/>
      <c r="S1" s="657"/>
    </row>
    <row r="2" spans="1:19" ht="20.25" x14ac:dyDescent="0.3">
      <c r="B2" s="587" t="s">
        <v>109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92"/>
      <c r="P2" s="592"/>
      <c r="Q2" s="592"/>
      <c r="R2" s="592"/>
      <c r="S2" s="592"/>
    </row>
    <row r="3" spans="1:19" ht="12.75" customHeight="1" x14ac:dyDescent="0.25">
      <c r="A3" s="59"/>
    </row>
    <row r="4" spans="1:19" ht="12.75" customHeight="1" x14ac:dyDescent="0.2"/>
    <row r="39" spans="11:19" x14ac:dyDescent="0.2">
      <c r="K39" s="60"/>
    </row>
    <row r="40" spans="11:19" x14ac:dyDescent="0.2">
      <c r="K40" s="60"/>
    </row>
    <row r="45" spans="1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1:19" x14ac:dyDescent="0.2">
      <c r="L46" s="62"/>
      <c r="M46" s="62"/>
      <c r="N46" s="62"/>
      <c r="O46" s="62"/>
      <c r="P46" s="62"/>
      <c r="Q46" s="62"/>
      <c r="R46" s="62"/>
      <c r="S46" s="62"/>
    </row>
    <row r="47" spans="11:19" x14ac:dyDescent="0.2">
      <c r="L47" s="62"/>
      <c r="M47" s="62"/>
      <c r="N47" s="62"/>
      <c r="O47" s="62"/>
      <c r="P47" s="62"/>
      <c r="Q47" s="62"/>
      <c r="R47" s="62"/>
      <c r="S47" s="62"/>
    </row>
    <row r="48" spans="11:19" x14ac:dyDescent="0.2">
      <c r="K48" s="61" t="s">
        <v>35</v>
      </c>
      <c r="L48" s="62"/>
      <c r="M48" s="62"/>
      <c r="N48" s="62"/>
      <c r="O48" s="62"/>
      <c r="P48" s="62"/>
      <c r="Q48" s="62"/>
      <c r="R48" s="62"/>
      <c r="S48" s="62"/>
    </row>
    <row r="49" spans="1:19" ht="28.5" x14ac:dyDescent="0.45">
      <c r="A49" s="57"/>
      <c r="B49" s="656" t="s">
        <v>100</v>
      </c>
      <c r="C49" s="657"/>
      <c r="D49" s="657"/>
      <c r="E49" s="657"/>
      <c r="F49" s="657"/>
      <c r="G49" s="657"/>
      <c r="H49" s="657"/>
      <c r="I49" s="657"/>
      <c r="J49" s="657"/>
      <c r="K49" s="657"/>
      <c r="L49" s="657"/>
      <c r="M49" s="657"/>
      <c r="N49" s="657"/>
      <c r="O49" s="657"/>
      <c r="P49" s="657"/>
      <c r="Q49" s="657"/>
      <c r="R49" s="657"/>
      <c r="S49" s="657"/>
    </row>
    <row r="50" spans="1:19" ht="20.25" x14ac:dyDescent="0.3">
      <c r="B50" s="587" t="s">
        <v>109</v>
      </c>
      <c r="C50" s="586"/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92"/>
      <c r="P50" s="592"/>
      <c r="Q50" s="592"/>
      <c r="R50" s="592"/>
      <c r="S50" s="592"/>
    </row>
    <row r="51" spans="1:19" ht="12.75" customHeight="1" x14ac:dyDescent="0.2"/>
    <row r="72" spans="11:19" x14ac:dyDescent="0.2">
      <c r="K72" s="632"/>
      <c r="L72" s="633"/>
      <c r="M72" s="633"/>
      <c r="N72" s="633"/>
      <c r="O72" s="633"/>
      <c r="P72" s="633"/>
      <c r="Q72" s="633"/>
      <c r="R72" s="633"/>
      <c r="S72" s="633"/>
    </row>
  </sheetData>
  <mergeCells count="5">
    <mergeCell ref="B1:S1"/>
    <mergeCell ref="B2:S2"/>
    <mergeCell ref="B49:S49"/>
    <mergeCell ref="B50:S50"/>
    <mergeCell ref="K72:S72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7" fitToHeight="0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5" tint="-0.499984740745262"/>
    <pageSetUpPr fitToPage="1"/>
  </sheetPr>
  <dimension ref="A1:N48"/>
  <sheetViews>
    <sheetView showGridLines="0" zoomScale="130" zoomScaleNormal="130" zoomScaleSheetLayoutView="130" workbookViewId="0">
      <selection sqref="A1:M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85" t="s">
        <v>117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20.25" x14ac:dyDescent="0.3">
      <c r="A2" s="638" t="s">
        <v>121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67" t="s">
        <v>2</v>
      </c>
      <c r="B4" s="588" t="s">
        <v>95</v>
      </c>
      <c r="C4" s="640"/>
      <c r="D4" s="641"/>
      <c r="E4" s="647" t="s">
        <v>94</v>
      </c>
      <c r="F4" s="640"/>
      <c r="G4" s="641"/>
      <c r="H4" s="591" t="s">
        <v>93</v>
      </c>
      <c r="I4" s="640"/>
      <c r="J4" s="641"/>
      <c r="K4" s="570" t="s">
        <v>92</v>
      </c>
      <c r="L4" s="640"/>
      <c r="M4" s="641"/>
      <c r="N4" s="73"/>
    </row>
    <row r="5" spans="1:14" ht="13.5" customHeight="1" thickBot="1" x14ac:dyDescent="0.25">
      <c r="A5" s="645"/>
      <c r="B5" s="642"/>
      <c r="C5" s="643"/>
      <c r="D5" s="644"/>
      <c r="E5" s="642"/>
      <c r="F5" s="643"/>
      <c r="G5" s="644"/>
      <c r="H5" s="642"/>
      <c r="I5" s="643"/>
      <c r="J5" s="644"/>
      <c r="K5" s="642"/>
      <c r="L5" s="643"/>
      <c r="M5" s="644"/>
      <c r="N5" s="71"/>
    </row>
    <row r="6" spans="1:14" ht="12.75" customHeight="1" x14ac:dyDescent="0.2">
      <c r="A6" s="645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84" t="s">
        <v>6</v>
      </c>
      <c r="I6" s="557" t="s">
        <v>31</v>
      </c>
      <c r="J6" s="559" t="s">
        <v>32</v>
      </c>
      <c r="K6" s="584" t="s">
        <v>23</v>
      </c>
      <c r="L6" s="557" t="s">
        <v>31</v>
      </c>
      <c r="M6" s="559" t="s">
        <v>32</v>
      </c>
    </row>
    <row r="7" spans="1:14" ht="13.5" thickBot="1" x14ac:dyDescent="0.25">
      <c r="A7" s="646"/>
      <c r="B7" s="636"/>
      <c r="C7" s="635"/>
      <c r="D7" s="634"/>
      <c r="E7" s="636"/>
      <c r="F7" s="635"/>
      <c r="G7" s="634"/>
      <c r="H7" s="636"/>
      <c r="I7" s="635"/>
      <c r="J7" s="634"/>
      <c r="K7" s="636"/>
      <c r="L7" s="635"/>
      <c r="M7" s="634"/>
    </row>
    <row r="8" spans="1:14" ht="14.1" customHeight="1" x14ac:dyDescent="0.2">
      <c r="A8" s="245" t="s">
        <v>7</v>
      </c>
      <c r="B8" s="247">
        <f>71605997.24+101329266.98</f>
        <v>172935264.22</v>
      </c>
      <c r="C8" s="248">
        <f>C20/12</f>
        <v>157645583.33333334</v>
      </c>
      <c r="D8" s="249">
        <f>B8-C8</f>
        <v>15289680.886666656</v>
      </c>
      <c r="E8" s="250">
        <f>4894422.38+6926071.15</f>
        <v>11820493.530000001</v>
      </c>
      <c r="F8" s="248">
        <f>F20/12</f>
        <v>10774166.666666666</v>
      </c>
      <c r="G8" s="249">
        <f>E8-F8</f>
        <v>1046326.8633333351</v>
      </c>
      <c r="H8" s="250">
        <f>3968369.06+830945.06</f>
        <v>4799314.12</v>
      </c>
      <c r="I8" s="248">
        <f>I20/12</f>
        <v>3243166.6666666665</v>
      </c>
      <c r="J8" s="251">
        <f>H8-I8</f>
        <v>1556147.4533333336</v>
      </c>
      <c r="K8" s="250">
        <f>8822763.75+4916547.55</f>
        <v>13739311.300000001</v>
      </c>
      <c r="L8" s="248">
        <f>L20/12</f>
        <v>13986750</v>
      </c>
      <c r="M8" s="251">
        <f>K8-L8</f>
        <v>-247438.69999999925</v>
      </c>
    </row>
    <row r="9" spans="1:14" ht="14.1" customHeight="1" x14ac:dyDescent="0.2">
      <c r="A9" s="246" t="s">
        <v>8</v>
      </c>
      <c r="B9" s="252">
        <f>65744580.69+96997598.06</f>
        <v>162742178.75</v>
      </c>
      <c r="C9" s="253">
        <f>C8*2</f>
        <v>315291166.66666669</v>
      </c>
      <c r="D9" s="249">
        <f>SUM(B8+B9)-C9</f>
        <v>20386276.303333342</v>
      </c>
      <c r="E9" s="247">
        <f>4493782.07+6629992.4</f>
        <v>11123774.470000001</v>
      </c>
      <c r="F9" s="253">
        <f>F8*2</f>
        <v>21548333.333333332</v>
      </c>
      <c r="G9" s="249">
        <f>SUM(E8+E9)-F9</f>
        <v>1395934.6666666679</v>
      </c>
      <c r="H9" s="247">
        <f>1398316.3+1175936.36</f>
        <v>2574252.66</v>
      </c>
      <c r="I9" s="253">
        <f>I8*2</f>
        <v>6486333.333333333</v>
      </c>
      <c r="J9" s="249">
        <f>SUM(H8+H9)-I9</f>
        <v>887233.44666666724</v>
      </c>
      <c r="K9" s="252">
        <f>11423499.74+4384097.03</f>
        <v>15807596.77</v>
      </c>
      <c r="L9" s="253">
        <f>L8*2</f>
        <v>27973500</v>
      </c>
      <c r="M9" s="249">
        <f>SUM(K8+K9)-L9</f>
        <v>1573408.0700000003</v>
      </c>
    </row>
    <row r="10" spans="1:14" ht="14.1" customHeight="1" x14ac:dyDescent="0.2">
      <c r="A10" s="246" t="s">
        <v>9</v>
      </c>
      <c r="B10" s="252">
        <f>56455013.72+80995880.15</f>
        <v>137450893.87</v>
      </c>
      <c r="C10" s="253">
        <f>C8*3</f>
        <v>472936750</v>
      </c>
      <c r="D10" s="249">
        <f>SUM(B8+B9+B10)-C10</f>
        <v>191586.84000003338</v>
      </c>
      <c r="E10" s="247">
        <f>3858820.38+5536240.88</f>
        <v>9395061.2599999998</v>
      </c>
      <c r="F10" s="254">
        <f>F8*3</f>
        <v>32322500</v>
      </c>
      <c r="G10" s="249">
        <f>SUM(E8+E9+E10)-F10</f>
        <v>16829.259999997914</v>
      </c>
      <c r="H10" s="247">
        <f>2281145.83+3267947.7</f>
        <v>5549093.5300000003</v>
      </c>
      <c r="I10" s="254">
        <f>I8*3</f>
        <v>9729500</v>
      </c>
      <c r="J10" s="249">
        <f>SUM(H8+H9+H10)-I10</f>
        <v>3193160.3100000005</v>
      </c>
      <c r="K10" s="252">
        <f>4322578.77+5483337.8</f>
        <v>9805916.5700000003</v>
      </c>
      <c r="L10" s="254">
        <f>L8*3</f>
        <v>41960250</v>
      </c>
      <c r="M10" s="249">
        <f>SUM(K8+K9+K10)-L10</f>
        <v>-2607425.3599999994</v>
      </c>
    </row>
    <row r="11" spans="1:14" ht="14.1" customHeight="1" x14ac:dyDescent="0.2">
      <c r="A11" s="246" t="s">
        <v>10</v>
      </c>
      <c r="B11" s="252">
        <f>48070126.83+77156595.18</f>
        <v>125226722.01000001</v>
      </c>
      <c r="C11" s="253">
        <f>C8*4</f>
        <v>630582333.33333337</v>
      </c>
      <c r="D11" s="249">
        <f>SUM(B8+B9+B10+B11)-C11</f>
        <v>-32227274.483333349</v>
      </c>
      <c r="E11" s="247">
        <f>3285695.53+5273817.57</f>
        <v>8559513.0999999996</v>
      </c>
      <c r="F11" s="253">
        <f>F8*4</f>
        <v>43096666.666666664</v>
      </c>
      <c r="G11" s="249">
        <f>SUM(E8+E9+E10+E11)-F11</f>
        <v>-2197824.3066666648</v>
      </c>
      <c r="H11" s="247">
        <v>0</v>
      </c>
      <c r="I11" s="253">
        <f>I8*4</f>
        <v>12972666.666666666</v>
      </c>
      <c r="J11" s="249">
        <f>SUM(H8+H9+H10+H11)-I11</f>
        <v>-50006.356666665524</v>
      </c>
      <c r="K11" s="252">
        <f>5426080.32+6110250.12</f>
        <v>11536330.440000001</v>
      </c>
      <c r="L11" s="253">
        <f>L8*4</f>
        <v>55947000</v>
      </c>
      <c r="M11" s="249">
        <f>SUM(K8+K9+K10+K11)-L11</f>
        <v>-5057844.9200000018</v>
      </c>
    </row>
    <row r="12" spans="1:14" ht="14.1" customHeight="1" x14ac:dyDescent="0.2">
      <c r="A12" s="246" t="s">
        <v>11</v>
      </c>
      <c r="B12" s="252">
        <f>48146073.65+104949191.77</f>
        <v>153095265.41999999</v>
      </c>
      <c r="C12" s="253">
        <f>C8*5</f>
        <v>788227916.66666675</v>
      </c>
      <c r="D12" s="249">
        <f>SUM(B8+B9+B10+B11+B12)-C12</f>
        <v>-36777592.396666765</v>
      </c>
      <c r="E12" s="247">
        <f>3290886.64+7173500.72</f>
        <v>10464387.359999999</v>
      </c>
      <c r="F12" s="253">
        <f>F8*5</f>
        <v>53870833.333333328</v>
      </c>
      <c r="G12" s="249">
        <f>SUM(E8+E9+E10+E11+E12)-F12</f>
        <v>-2507603.6133333296</v>
      </c>
      <c r="H12" s="247">
        <v>0</v>
      </c>
      <c r="I12" s="253">
        <f>I8*5</f>
        <v>16215833.333333332</v>
      </c>
      <c r="J12" s="249">
        <f>SUM(H8+H9+H10+H11+H12)-I12</f>
        <v>-3293173.0233333316</v>
      </c>
      <c r="K12" s="252">
        <f>7594227.23+5756348.65</f>
        <v>13350575.880000001</v>
      </c>
      <c r="L12" s="253">
        <f>L8*5</f>
        <v>69933750</v>
      </c>
      <c r="M12" s="249">
        <f>SUM(K8+K9+K10+K11+K12)-L12</f>
        <v>-5694019.0399999991</v>
      </c>
    </row>
    <row r="13" spans="1:14" ht="14.1" customHeight="1" x14ac:dyDescent="0.2">
      <c r="A13" s="246" t="s">
        <v>12</v>
      </c>
      <c r="B13" s="252">
        <f>66523906.41+102548362.59</f>
        <v>169072269</v>
      </c>
      <c r="C13" s="253">
        <f>C8*6</f>
        <v>945873500</v>
      </c>
      <c r="D13" s="249">
        <f>SUM(B8+B9+B10+B11+B12+B13)-C13</f>
        <v>-25350906.730000019</v>
      </c>
      <c r="E13" s="247">
        <f>4547050.68+7009398.94</f>
        <v>11556449.620000001</v>
      </c>
      <c r="F13" s="253">
        <f>F8*6</f>
        <v>64645000</v>
      </c>
      <c r="G13" s="249">
        <f>SUM(E8+E9+E10+E11+E12+E13)-F13</f>
        <v>-1725320.6599999964</v>
      </c>
      <c r="H13" s="247">
        <v>0</v>
      </c>
      <c r="I13" s="253">
        <f>I8*6</f>
        <v>19459000</v>
      </c>
      <c r="J13" s="249">
        <f>SUM(H8+H9+H10+H11+H12+H13)-I13</f>
        <v>-6536339.6899999995</v>
      </c>
      <c r="K13" s="252">
        <f>9124545.13+6651990.17</f>
        <v>15776535.300000001</v>
      </c>
      <c r="L13" s="253">
        <f>L8*6</f>
        <v>83920500</v>
      </c>
      <c r="M13" s="249">
        <f>SUM(K8+K9+K10+K11+K12+K13)-L13</f>
        <v>-3904233.7399999946</v>
      </c>
    </row>
    <row r="14" spans="1:14" ht="14.1" customHeight="1" x14ac:dyDescent="0.2">
      <c r="A14" s="246" t="s">
        <v>13</v>
      </c>
      <c r="B14" s="252">
        <f>69530573.25+104924651.98</f>
        <v>174455225.23000002</v>
      </c>
      <c r="C14" s="253">
        <f>C8*7</f>
        <v>1103519083.3333335</v>
      </c>
      <c r="D14" s="249">
        <f>SUM(B8+B9+B10+B11+B12+B13+B14)-C14</f>
        <v>-8541264.8333334923</v>
      </c>
      <c r="E14" s="247">
        <f>4752562.7+7171823.42</f>
        <v>11924386.120000001</v>
      </c>
      <c r="F14" s="253">
        <f>F8*7</f>
        <v>75419166.666666657</v>
      </c>
      <c r="G14" s="249">
        <f>SUM(E8+E9+E10+E11+E12+E13+E14)-F14</f>
        <v>-575101.20666664839</v>
      </c>
      <c r="H14" s="247">
        <f>1953079.43+8948708.87</f>
        <v>10901788.299999999</v>
      </c>
      <c r="I14" s="253">
        <f>I8*7</f>
        <v>22702166.666666664</v>
      </c>
      <c r="J14" s="249">
        <f>SUM(H8+H9+H10+H11+H12+H13+H14)-I14</f>
        <v>1122281.9433333352</v>
      </c>
      <c r="K14" s="252">
        <f>10140215.57+9799690.18</f>
        <v>19939905.75</v>
      </c>
      <c r="L14" s="253">
        <f>L8*7</f>
        <v>97907250</v>
      </c>
      <c r="M14" s="249">
        <f>SUM(K8+K9+K10+K11+K12+K13+K14)-L14</f>
        <v>2048922.0100000054</v>
      </c>
    </row>
    <row r="15" spans="1:14" ht="14.1" customHeight="1" x14ac:dyDescent="0.2">
      <c r="A15" s="246" t="s">
        <v>14</v>
      </c>
      <c r="B15" s="252">
        <f>64004109.34+107536136.6</f>
        <v>171540245.94</v>
      </c>
      <c r="C15" s="253">
        <f>C8*8</f>
        <v>1261164666.6666667</v>
      </c>
      <c r="D15" s="249">
        <f>SUM(B8+B9+B10+B11+B12+B13+B14+B15)-C15</f>
        <v>5353397.7733333111</v>
      </c>
      <c r="E15" s="247">
        <f>4374817.14+7350323.91</f>
        <v>11725141.050000001</v>
      </c>
      <c r="F15" s="253">
        <f>F8*8</f>
        <v>86193333.333333328</v>
      </c>
      <c r="G15" s="249">
        <f>SUM(E8+E9+E10+E11+E12+E13+E14+E15)-F15</f>
        <v>375873.176666677</v>
      </c>
      <c r="H15" s="247">
        <v>0</v>
      </c>
      <c r="I15" s="253">
        <f>I8*8</f>
        <v>25945333.333333332</v>
      </c>
      <c r="J15" s="249">
        <f>SUM(H8+H9+H10+H11+H12+H13+H14+H15)-I15</f>
        <v>-2120884.7233333327</v>
      </c>
      <c r="K15" s="252">
        <f>12186199.55+6377427.62</f>
        <v>18563627.170000002</v>
      </c>
      <c r="L15" s="253">
        <f>L8*8</f>
        <v>111894000</v>
      </c>
      <c r="M15" s="249">
        <f>SUM(K8+K9+K10+K11+K12+K13+K14+K15)-L15</f>
        <v>6625799.1800000072</v>
      </c>
    </row>
    <row r="16" spans="1:14" ht="14.1" customHeight="1" x14ac:dyDescent="0.2">
      <c r="A16" s="246" t="s">
        <v>15</v>
      </c>
      <c r="B16" s="252">
        <f>62103545.61+78822821.95</f>
        <v>140926367.56</v>
      </c>
      <c r="C16" s="253">
        <f>C8*9</f>
        <v>1418810250</v>
      </c>
      <c r="D16" s="249">
        <f>SUM(B8+B9+B10+B11+B12+B13+B14+B15+B16)-C16</f>
        <v>-11365818</v>
      </c>
      <c r="E16" s="247">
        <f>4244909.58+5258973.73</f>
        <v>9503883.3100000005</v>
      </c>
      <c r="F16" s="253">
        <f>F8*9</f>
        <v>96967500</v>
      </c>
      <c r="G16" s="249">
        <f>SUM(E8+E9+E10+E11+E12+E13+E14+E15+E16)-F16</f>
        <v>-894410.17999999225</v>
      </c>
      <c r="H16" s="247">
        <f>6822741.69</f>
        <v>6822741.6900000004</v>
      </c>
      <c r="I16" s="253">
        <f>I8*9</f>
        <v>29188500</v>
      </c>
      <c r="J16" s="249">
        <f>SUM(H8+H9+H10+H11+H12+H13+H14+H15+H16)-I16</f>
        <v>1458690.3000000007</v>
      </c>
      <c r="K16" s="252">
        <f>9979211.57+7945575.82</f>
        <v>17924787.390000001</v>
      </c>
      <c r="L16" s="253">
        <f>L8*9</f>
        <v>125880750</v>
      </c>
      <c r="M16" s="249">
        <f>SUM(K8+K9+K10+K11+K12+K13+K14+K15+K16)-L16</f>
        <v>10563836.569999993</v>
      </c>
    </row>
    <row r="17" spans="1:13" ht="14.1" customHeight="1" x14ac:dyDescent="0.2">
      <c r="A17" s="246" t="s">
        <v>16</v>
      </c>
      <c r="B17" s="252">
        <f>66475821.13+98395049.42</f>
        <v>164870870.55000001</v>
      </c>
      <c r="C17" s="253">
        <f>C8*10</f>
        <v>1576455833.3333335</v>
      </c>
      <c r="D17" s="249">
        <f>SUM(B8+B9+B10+B11+B12+B13+B14+B15+B16+B17)-C17</f>
        <v>-4140530.78333354</v>
      </c>
      <c r="E17" s="247">
        <f>4537357.72+6716028.84</f>
        <v>11253386.559999999</v>
      </c>
      <c r="F17" s="253">
        <f>F8*10</f>
        <v>107741666.66666666</v>
      </c>
      <c r="G17" s="249">
        <f>SUM(E8+E9+E10+E11+E12+E13+E14+E15+E16+E17)-F17</f>
        <v>-415190.2866666466</v>
      </c>
      <c r="H17" s="247">
        <f>3883353.98+1016038.59</f>
        <v>4899392.57</v>
      </c>
      <c r="I17" s="253">
        <f>I8*10</f>
        <v>32431666.666666664</v>
      </c>
      <c r="J17" s="249">
        <f>SUM(H8+H9+H10+H11+H12+H13+H14+H15+H16+H17)-I17</f>
        <v>3114916.2033333406</v>
      </c>
      <c r="K17" s="252">
        <f>11047571+6412975.59</f>
        <v>17460546.59</v>
      </c>
      <c r="L17" s="253">
        <f>L8*10</f>
        <v>139867500</v>
      </c>
      <c r="M17" s="249">
        <f>SUM(K8+K9+K10+K11+K12+K13+K14+K15+K16+K17)-L17</f>
        <v>14037633.159999996</v>
      </c>
    </row>
    <row r="18" spans="1:13" ht="14.1" customHeight="1" x14ac:dyDescent="0.2">
      <c r="A18" s="246" t="s">
        <v>17</v>
      </c>
      <c r="B18" s="252">
        <f>61370335.66+106681104.35</f>
        <v>168051440.00999999</v>
      </c>
      <c r="C18" s="253">
        <f>C8*11</f>
        <v>1734101416.6666667</v>
      </c>
      <c r="D18" s="249">
        <f>SUM(B8+B9+B10+B11+B12+B13+B14+B15+B16+B17+B18)-C18</f>
        <v>6265325.8933331966</v>
      </c>
      <c r="E18" s="247">
        <f>4188878.92+7281599.81</f>
        <v>11470478.73</v>
      </c>
      <c r="F18" s="253">
        <f>F8*11</f>
        <v>118515833.33333333</v>
      </c>
      <c r="G18" s="249">
        <f>SUM(E8+E9+E10+E11+E12+E13+E14+E15+E16+E17+E18)-F18</f>
        <v>281121.77666668594</v>
      </c>
      <c r="H18" s="247">
        <f>1334207.93+844844.33</f>
        <v>2179052.2599999998</v>
      </c>
      <c r="I18" s="253">
        <f>I8*11</f>
        <v>35674833.333333328</v>
      </c>
      <c r="J18" s="249">
        <f>SUM(H8+H9+H10+H11+H12+H13+H14+H15+H16+H17+H18)-I18</f>
        <v>2050801.7966666743</v>
      </c>
      <c r="K18" s="252">
        <f>9120336.79+6017945.92</f>
        <v>15138282.709999999</v>
      </c>
      <c r="L18" s="253">
        <f>L8*11</f>
        <v>153854250</v>
      </c>
      <c r="M18" s="249">
        <f>SUM(K8+K9+K10+K11+K12+K13+K14+K15+K16+K17+K18)-L18</f>
        <v>15189165.870000005</v>
      </c>
    </row>
    <row r="19" spans="1:13" ht="14.1" customHeight="1" thickBot="1" x14ac:dyDescent="0.25">
      <c r="A19" s="339" t="s">
        <v>18</v>
      </c>
      <c r="B19" s="331">
        <f>60630552.23+132182730.72</f>
        <v>192813282.94999999</v>
      </c>
      <c r="C19" s="332">
        <f>C8*12</f>
        <v>1891747000</v>
      </c>
      <c r="D19" s="249">
        <f>SUM(B8+B9+B10+B11+B12+B13+B14+B15+B16+B17+B18+B19)-C19</f>
        <v>41433025.50999999</v>
      </c>
      <c r="E19" s="333">
        <f>4138384.43+9022232.75</f>
        <v>13160617.18</v>
      </c>
      <c r="F19" s="332">
        <f>F8*12</f>
        <v>129290000</v>
      </c>
      <c r="G19" s="249">
        <f>SUM(E8+E9+E10+E11+E12+E13+E14+E15+E16+E17+E18+E19)-F19</f>
        <v>2667572.2900000215</v>
      </c>
      <c r="H19" s="333">
        <f>1031942.53+15519190.19</f>
        <v>16551132.719999999</v>
      </c>
      <c r="I19" s="332">
        <f>I8*12</f>
        <v>38918000</v>
      </c>
      <c r="J19" s="249">
        <f>SUM(H8+H9+H10+H11+H12+H13+H14+H15+H16+H17+H18+H19)-I19</f>
        <v>15358767.850000001</v>
      </c>
      <c r="K19" s="334">
        <f>6530751.09+7467339.56</f>
        <v>13998090.649999999</v>
      </c>
      <c r="L19" s="332">
        <f>L8*12</f>
        <v>167841000</v>
      </c>
      <c r="M19" s="249">
        <f>SUM(K8+K9+K10+K11+K12+K13+K14+K15+K16+K17+K18+K19)-L19</f>
        <v>15200506.520000011</v>
      </c>
    </row>
    <row r="20" spans="1:13" ht="15" customHeight="1" thickBot="1" x14ac:dyDescent="0.25">
      <c r="A20" s="257" t="s">
        <v>19</v>
      </c>
      <c r="B20" s="345">
        <f>SUM(B8:B19)</f>
        <v>1933180025.51</v>
      </c>
      <c r="C20" s="258">
        <v>1891747000</v>
      </c>
      <c r="D20" s="259"/>
      <c r="E20" s="345">
        <f>SUM(E8:E19)</f>
        <v>131957572.29000002</v>
      </c>
      <c r="F20" s="258">
        <v>129290000</v>
      </c>
      <c r="G20" s="260"/>
      <c r="H20" s="345">
        <f>SUM(H8:H19)</f>
        <v>54276767.850000001</v>
      </c>
      <c r="I20" s="258">
        <v>38918000</v>
      </c>
      <c r="J20" s="260"/>
      <c r="K20" s="345">
        <f>SUM(K8:K19)</f>
        <v>183041506.52000001</v>
      </c>
      <c r="L20" s="258">
        <v>167841000</v>
      </c>
      <c r="M20" s="375"/>
    </row>
    <row r="21" spans="1:13" ht="15.7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5.7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5.7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2.75" customHeight="1" x14ac:dyDescent="0.2">
      <c r="A24" s="567" t="s">
        <v>2</v>
      </c>
      <c r="B24" s="576" t="s">
        <v>20</v>
      </c>
      <c r="C24" s="648"/>
      <c r="D24" s="649"/>
      <c r="E24" s="582" t="s">
        <v>21</v>
      </c>
      <c r="F24" s="648"/>
      <c r="G24" s="649"/>
      <c r="H24" s="583" t="s">
        <v>22</v>
      </c>
      <c r="I24" s="648"/>
      <c r="J24" s="649"/>
      <c r="K24" s="370"/>
    </row>
    <row r="25" spans="1:13" ht="13.5" thickBot="1" x14ac:dyDescent="0.25">
      <c r="A25" s="596"/>
      <c r="B25" s="650"/>
      <c r="C25" s="651"/>
      <c r="D25" s="652"/>
      <c r="E25" s="650"/>
      <c r="F25" s="651"/>
      <c r="G25" s="652"/>
      <c r="H25" s="650"/>
      <c r="I25" s="651"/>
      <c r="J25" s="652"/>
      <c r="K25" s="370"/>
    </row>
    <row r="26" spans="1:13" ht="12.75" customHeight="1" x14ac:dyDescent="0.2">
      <c r="A26" s="596"/>
      <c r="B26" s="563" t="s">
        <v>24</v>
      </c>
      <c r="C26" s="557" t="s">
        <v>31</v>
      </c>
      <c r="D26" s="559" t="s">
        <v>32</v>
      </c>
      <c r="E26" s="563" t="s">
        <v>25</v>
      </c>
      <c r="F26" s="557" t="s">
        <v>31</v>
      </c>
      <c r="G26" s="559" t="s">
        <v>32</v>
      </c>
      <c r="H26" s="566" t="s">
        <v>19</v>
      </c>
      <c r="I26" s="557" t="s">
        <v>31</v>
      </c>
      <c r="J26" s="559" t="s">
        <v>32</v>
      </c>
      <c r="K26" s="553" t="s">
        <v>116</v>
      </c>
    </row>
    <row r="27" spans="1:13" ht="13.5" thickBot="1" x14ac:dyDescent="0.25">
      <c r="A27" s="597"/>
      <c r="B27" s="655"/>
      <c r="C27" s="635"/>
      <c r="D27" s="634"/>
      <c r="E27" s="655"/>
      <c r="F27" s="654"/>
      <c r="G27" s="634"/>
      <c r="H27" s="636"/>
      <c r="I27" s="635"/>
      <c r="J27" s="634"/>
      <c r="K27" s="653"/>
    </row>
    <row r="28" spans="1:13" ht="14.1" customHeight="1" x14ac:dyDescent="0.2">
      <c r="A28" s="261" t="s">
        <v>7</v>
      </c>
      <c r="B28" s="262">
        <f>103157844.05+3705625.4</f>
        <v>106863469.45</v>
      </c>
      <c r="C28" s="248">
        <f>C40/12</f>
        <v>136062583.33333334</v>
      </c>
      <c r="D28" s="251">
        <f>B28-C28</f>
        <v>-29199113.88333334</v>
      </c>
      <c r="E28" s="263">
        <f>297932194.59+35270116.05</f>
        <v>333202310.63999999</v>
      </c>
      <c r="F28" s="264">
        <f>F40/12</f>
        <v>324587583.33333331</v>
      </c>
      <c r="G28" s="265">
        <f>E28-F28</f>
        <v>8614727.3066666722</v>
      </c>
      <c r="H28" s="266">
        <f t="shared" ref="H28:H40" si="0">$B8+$E8+$H8+$K8+$B28+$E28</f>
        <v>643360163.25999999</v>
      </c>
      <c r="I28" s="264">
        <f>I40/12</f>
        <v>646299833.33333337</v>
      </c>
      <c r="J28" s="267">
        <f>H28-I28</f>
        <v>-2939670.0733333826</v>
      </c>
      <c r="K28" s="268">
        <f>J28/I40</f>
        <v>-3.7903847947423045E-4</v>
      </c>
    </row>
    <row r="29" spans="1:13" ht="14.1" customHeight="1" x14ac:dyDescent="0.2">
      <c r="A29" s="269" t="s">
        <v>8</v>
      </c>
      <c r="B29" s="270">
        <f>4082865.34+6037077.15</f>
        <v>10119942.49</v>
      </c>
      <c r="C29" s="253">
        <f>C28*2</f>
        <v>272125166.66666669</v>
      </c>
      <c r="D29" s="249">
        <f>SUM(B28+B29)-C29</f>
        <v>-155141754.72666669</v>
      </c>
      <c r="E29" s="271">
        <f>369687922.62+24091063.99</f>
        <v>393778986.61000001</v>
      </c>
      <c r="F29" s="254">
        <f>F28*2</f>
        <v>649175166.66666663</v>
      </c>
      <c r="G29" s="249">
        <f>SUM(E28+E29)-F29</f>
        <v>77806130.583333373</v>
      </c>
      <c r="H29" s="256">
        <f t="shared" si="0"/>
        <v>596146731.75</v>
      </c>
      <c r="I29" s="254">
        <f>I28*2</f>
        <v>1292599666.6666667</v>
      </c>
      <c r="J29" s="249">
        <f>SUM(H28+H29)-I29</f>
        <v>-53092771.656666756</v>
      </c>
      <c r="K29" s="272">
        <f>J29/I40</f>
        <v>-6.8457353845140963E-3</v>
      </c>
    </row>
    <row r="30" spans="1:13" ht="14.1" customHeight="1" x14ac:dyDescent="0.2">
      <c r="A30" s="269" t="s">
        <v>9</v>
      </c>
      <c r="B30" s="273">
        <f>6498575.54+281953401.35</f>
        <v>288451976.89000005</v>
      </c>
      <c r="C30" s="254">
        <f>C28*3</f>
        <v>408187750</v>
      </c>
      <c r="D30" s="249">
        <f>SUM(B28+B29+B30)-C30</f>
        <v>-2752361.1699999571</v>
      </c>
      <c r="E30" s="271">
        <f>164152322.73+17222897.39</f>
        <v>181375220.12</v>
      </c>
      <c r="F30" s="254">
        <f>F28*3</f>
        <v>973762750</v>
      </c>
      <c r="G30" s="249">
        <f>SUM(E28+E29+E30)-F30</f>
        <v>-65406232.629999995</v>
      </c>
      <c r="H30" s="255">
        <f t="shared" si="0"/>
        <v>632028162.24000001</v>
      </c>
      <c r="I30" s="254">
        <f>I28*3</f>
        <v>1938899500</v>
      </c>
      <c r="J30" s="249">
        <f>SUM(H28+H29+H30)-I30</f>
        <v>-67364442.75</v>
      </c>
      <c r="K30" s="272">
        <f>J30/I40</f>
        <v>-8.6859121308247283E-3</v>
      </c>
    </row>
    <row r="31" spans="1:13" ht="14.1" customHeight="1" x14ac:dyDescent="0.2">
      <c r="A31" s="269" t="s">
        <v>10</v>
      </c>
      <c r="B31" s="270">
        <f>63621866.19+30438551.55</f>
        <v>94060417.739999995</v>
      </c>
      <c r="C31" s="253">
        <f>C28*4</f>
        <v>544250333.33333337</v>
      </c>
      <c r="D31" s="249">
        <f>SUM(B28+B29+B30+B31)-C31</f>
        <v>-44754526.763333321</v>
      </c>
      <c r="E31" s="274">
        <f>224217970.88+16208213.59</f>
        <v>240426184.47</v>
      </c>
      <c r="F31" s="253">
        <f>F28*4</f>
        <v>1298350333.3333333</v>
      </c>
      <c r="G31" s="249">
        <f>SUM(E28+E29+E30+E31)-F31</f>
        <v>-149567631.49333334</v>
      </c>
      <c r="H31" s="255">
        <f t="shared" si="0"/>
        <v>479809167.75999999</v>
      </c>
      <c r="I31" s="253">
        <f>I28*4</f>
        <v>2585199333.3333335</v>
      </c>
      <c r="J31" s="249">
        <f>SUM(H28+H29+H30+H31)-I31</f>
        <v>-233855108.32333326</v>
      </c>
      <c r="K31" s="272">
        <f>J31/I40</f>
        <v>-3.0153072441781184E-2</v>
      </c>
    </row>
    <row r="32" spans="1:13" ht="14.1" customHeight="1" x14ac:dyDescent="0.2">
      <c r="A32" s="269" t="s">
        <v>11</v>
      </c>
      <c r="B32" s="273">
        <f>436290.95+6327765.28</f>
        <v>6764056.2300000004</v>
      </c>
      <c r="C32" s="253">
        <f>C28*5</f>
        <v>680312916.66666675</v>
      </c>
      <c r="D32" s="249">
        <f>SUM(B28+B29+B30+B31+B32)-C32</f>
        <v>-174053053.86666667</v>
      </c>
      <c r="E32" s="274">
        <f>367729653.13+23679100.6</f>
        <v>391408753.73000002</v>
      </c>
      <c r="F32" s="253">
        <f>F28*5</f>
        <v>1622937916.6666665</v>
      </c>
      <c r="G32" s="249">
        <f>SUM(E28+E29+E30+E31+E32)-F32</f>
        <v>-82746461.096666574</v>
      </c>
      <c r="H32" s="255">
        <f t="shared" si="0"/>
        <v>575083038.62</v>
      </c>
      <c r="I32" s="253">
        <f>I28*5</f>
        <v>3231499166.666667</v>
      </c>
      <c r="J32" s="249">
        <f>SUM(H28+H29+H30+H31+H32)-I32</f>
        <v>-305071903.03666687</v>
      </c>
      <c r="K32" s="272">
        <f>J32/I40</f>
        <v>-3.9335703454029834E-2</v>
      </c>
    </row>
    <row r="33" spans="1:13" ht="14.1" customHeight="1" x14ac:dyDescent="0.2">
      <c r="A33" s="269" t="s">
        <v>12</v>
      </c>
      <c r="B33" s="270">
        <f>11438771.78+231960801.62</f>
        <v>243399573.40000001</v>
      </c>
      <c r="C33" s="253">
        <f>C28*6</f>
        <v>816375500</v>
      </c>
      <c r="D33" s="249">
        <f>SUM(B28+B29+B30+B31+B32+B33)-C33</f>
        <v>-66716063.799999952</v>
      </c>
      <c r="E33" s="274">
        <f>269432657.31+16282167.57</f>
        <v>285714824.88</v>
      </c>
      <c r="F33" s="253">
        <f>F28*6</f>
        <v>1947525500</v>
      </c>
      <c r="G33" s="249">
        <f>SUM(E28+E29+E30+E31+E32+E33)-F33</f>
        <v>-121619219.55000019</v>
      </c>
      <c r="H33" s="255">
        <f t="shared" si="0"/>
        <v>725519652.20000005</v>
      </c>
      <c r="I33" s="253">
        <f>I28*6</f>
        <v>3877799000</v>
      </c>
      <c r="J33" s="249">
        <f>SUM(H28+H29+H30+H31+H32+H33)-I33</f>
        <v>-225852084.17000008</v>
      </c>
      <c r="K33" s="272">
        <f>J33/I40</f>
        <v>-2.9121169530705444E-2</v>
      </c>
    </row>
    <row r="34" spans="1:13" ht="14.1" customHeight="1" x14ac:dyDescent="0.2">
      <c r="A34" s="269" t="s">
        <v>13</v>
      </c>
      <c r="B34" s="273">
        <f>247511471+109836886.19</f>
        <v>357348357.19</v>
      </c>
      <c r="C34" s="253">
        <f>C28*7</f>
        <v>952438083.33333337</v>
      </c>
      <c r="D34" s="249">
        <f>SUM(B28+B29+B30+B31+B32+B33+B34)-C34</f>
        <v>154569710.05666673</v>
      </c>
      <c r="E34" s="274">
        <f>278115364.36+34463201.29</f>
        <v>312578565.65000004</v>
      </c>
      <c r="F34" s="253">
        <f>F28*7</f>
        <v>2272113083.333333</v>
      </c>
      <c r="G34" s="249">
        <f>SUM(E28+E29+E30+E31+E32+E33+E34)-F34</f>
        <v>-133628237.23333311</v>
      </c>
      <c r="H34" s="255">
        <f t="shared" si="0"/>
        <v>887148228.24000001</v>
      </c>
      <c r="I34" s="253">
        <f>I28*7</f>
        <v>4524098833.333334</v>
      </c>
      <c r="J34" s="249">
        <f>SUM(H28+H29+H30+H31+H32+H33+H34)-I34</f>
        <v>14996310.736665726</v>
      </c>
      <c r="K34" s="272">
        <f>J34/I40</f>
        <v>1.9336111459961856E-3</v>
      </c>
    </row>
    <row r="35" spans="1:13" ht="14.1" customHeight="1" x14ac:dyDescent="0.2">
      <c r="A35" s="269" t="s">
        <v>14</v>
      </c>
      <c r="B35" s="270">
        <v>0</v>
      </c>
      <c r="C35" s="253">
        <f>C28*8</f>
        <v>1088500666.6666667</v>
      </c>
      <c r="D35" s="249">
        <f>SUM(B28+B29+B30+B31+B32+B33+B34+B35)-C35</f>
        <v>18507126.723333359</v>
      </c>
      <c r="E35" s="274">
        <f>361394693.03+29769585.38</f>
        <v>391164278.40999997</v>
      </c>
      <c r="F35" s="253">
        <f>F28*8</f>
        <v>2596700666.6666665</v>
      </c>
      <c r="G35" s="249">
        <f>SUM(E28+E29+E30+E31+E32+E33+E34+E35)-F35</f>
        <v>-67051542.156666756</v>
      </c>
      <c r="H35" s="255">
        <f t="shared" si="0"/>
        <v>592993292.56999993</v>
      </c>
      <c r="I35" s="253">
        <f>I28*8</f>
        <v>5170398666.666667</v>
      </c>
      <c r="J35" s="249">
        <f>SUM(H28+H29+H30+H31+H32+H33+H34+H35)-I35</f>
        <v>-38310230.026667595</v>
      </c>
      <c r="K35" s="272">
        <f>J35/I40</f>
        <v>-4.9396874395330435E-3</v>
      </c>
    </row>
    <row r="36" spans="1:13" ht="14.1" customHeight="1" x14ac:dyDescent="0.2">
      <c r="A36" s="269" t="s">
        <v>15</v>
      </c>
      <c r="B36" s="273">
        <f>157121127.28</f>
        <v>157121127.28</v>
      </c>
      <c r="C36" s="253">
        <f>C28*9</f>
        <v>1224563250</v>
      </c>
      <c r="D36" s="249">
        <f>SUM(B28+B29+B30+B31+B32+B33+B34+B35+B36)-C36</f>
        <v>39565670.670000076</v>
      </c>
      <c r="E36" s="274">
        <f>261499518.95</f>
        <v>261499518.94999999</v>
      </c>
      <c r="F36" s="253">
        <f>F28*9</f>
        <v>2921288250</v>
      </c>
      <c r="G36" s="249">
        <f>SUM(E28+E29+E30+E31+E32+E33+E34+E35+E36)-F36</f>
        <v>-130139606.54000044</v>
      </c>
      <c r="H36" s="255">
        <f t="shared" si="0"/>
        <v>593798426.18000007</v>
      </c>
      <c r="I36" s="253">
        <f>I28*9</f>
        <v>5816698500</v>
      </c>
      <c r="J36" s="249">
        <f>SUM(H28+H29+H30+H31+H32+H33+H34+H35+H36)-I36</f>
        <v>-90811637.180000305</v>
      </c>
      <c r="K36" s="272">
        <f>J36/I40</f>
        <v>-1.1709172803954036E-2</v>
      </c>
    </row>
    <row r="37" spans="1:13" ht="14.1" customHeight="1" x14ac:dyDescent="0.2">
      <c r="A37" s="269" t="s">
        <v>16</v>
      </c>
      <c r="B37" s="270">
        <f>135502669.2+9694134.76</f>
        <v>145196803.95999998</v>
      </c>
      <c r="C37" s="253">
        <f>C28*10</f>
        <v>1360625833.3333335</v>
      </c>
      <c r="D37" s="249">
        <f>SUM(B28+B29+B30+B31+B32+B33+B34+B35+B36+B37)-C37</f>
        <v>48699891.296666622</v>
      </c>
      <c r="E37" s="274">
        <f>249370791.47+26401884.76</f>
        <v>275772676.23000002</v>
      </c>
      <c r="F37" s="253">
        <f>F28*10</f>
        <v>3245875833.333333</v>
      </c>
      <c r="G37" s="249">
        <f>SUM(E28+E29+E30+E31+E32+E33+E34+E35+E36+E37)-F37</f>
        <v>-178954513.64333344</v>
      </c>
      <c r="H37" s="255">
        <f t="shared" si="0"/>
        <v>619453676.46000004</v>
      </c>
      <c r="I37" s="253">
        <f>I28*10</f>
        <v>6462998333.333334</v>
      </c>
      <c r="J37" s="249">
        <f>SUM(H28+H29+H30+H31+H32+H33+H34+H35+H36+H37)-I37</f>
        <v>-117657794.05333424</v>
      </c>
      <c r="K37" s="272">
        <f>J37/I40</f>
        <v>-1.5170692711681838E-2</v>
      </c>
    </row>
    <row r="38" spans="1:13" ht="14.1" customHeight="1" x14ac:dyDescent="0.2">
      <c r="A38" s="269" t="s">
        <v>17</v>
      </c>
      <c r="B38" s="270">
        <f>6018590.88</f>
        <v>6018590.8799999999</v>
      </c>
      <c r="C38" s="253">
        <f>C28*11</f>
        <v>1496688416.6666667</v>
      </c>
      <c r="D38" s="249">
        <f>SUM(B28+B29+B30+B31+B32+B33+B34+B35+B36+B37+B38)-C38</f>
        <v>-81344101.156666517</v>
      </c>
      <c r="E38" s="274">
        <f>399824897.2+26451215.74</f>
        <v>426276112.94</v>
      </c>
      <c r="F38" s="253">
        <f>F28*11</f>
        <v>3570463416.6666665</v>
      </c>
      <c r="G38" s="249">
        <f>SUM(E28+E29+E30+E31+E32+E33+E34+E35+E36+E37+E38)-F38</f>
        <v>-77265984.03666687</v>
      </c>
      <c r="H38" s="255">
        <f t="shared" si="0"/>
        <v>629133957.52999997</v>
      </c>
      <c r="I38" s="253">
        <f>I28*11</f>
        <v>7109298166.666667</v>
      </c>
      <c r="J38" s="249">
        <f>SUM(H28+H29+H30+H31+H32+H33+H34+H35+H36+H37+H38)-I38</f>
        <v>-134823669.85666752</v>
      </c>
      <c r="K38" s="272">
        <f>J38/I40</f>
        <v>-1.738404567341777E-2</v>
      </c>
    </row>
    <row r="39" spans="1:13" ht="14.1" customHeight="1" thickBot="1" x14ac:dyDescent="0.25">
      <c r="A39" s="340" t="s">
        <v>18</v>
      </c>
      <c r="B39" s="335">
        <f>289657435.38</f>
        <v>289657435.38</v>
      </c>
      <c r="C39" s="332">
        <f>C28*12</f>
        <v>1632751000</v>
      </c>
      <c r="D39" s="410">
        <f>SUM(B28+B29+B30+B31+B32+B33+B34+B35+B36+B37+B38+B39)-C39</f>
        <v>72250750.890000343</v>
      </c>
      <c r="E39" s="337">
        <f>318015845.14+27365739.45</f>
        <v>345381584.58999997</v>
      </c>
      <c r="F39" s="332">
        <f>F28*12</f>
        <v>3895051000</v>
      </c>
      <c r="G39" s="249">
        <f>SUM(E28+E29+E30+E31+E32+E33+E34+E35+E36+E37+E38+E39)-F39</f>
        <v>-56471982.78000021</v>
      </c>
      <c r="H39" s="275">
        <f t="shared" si="0"/>
        <v>871562143.47000003</v>
      </c>
      <c r="I39" s="338">
        <f>I28*12</f>
        <v>7755598000</v>
      </c>
      <c r="J39" s="411">
        <f>SUM(H28+H29+H30+H31+H32+H33+H34+H35+H36+H37+H38+H39)-I39</f>
        <v>90438640.279999733</v>
      </c>
      <c r="K39" s="272">
        <f>J39/I40</f>
        <v>1.1661078911000768E-2</v>
      </c>
    </row>
    <row r="40" spans="1:13" ht="15" customHeight="1" thickBot="1" x14ac:dyDescent="0.25">
      <c r="A40" s="257" t="s">
        <v>19</v>
      </c>
      <c r="B40" s="347">
        <f>SUM(B28:B39)</f>
        <v>1705001750.8900003</v>
      </c>
      <c r="C40" s="276">
        <v>1632751000</v>
      </c>
      <c r="D40" s="277"/>
      <c r="E40" s="345">
        <f>SUM(E28:E39)</f>
        <v>3838579017.2199998</v>
      </c>
      <c r="F40" s="258">
        <v>3895051000</v>
      </c>
      <c r="G40" s="278"/>
      <c r="H40" s="351">
        <f t="shared" si="0"/>
        <v>7846036640.2800007</v>
      </c>
      <c r="I40" s="279">
        <f>C20+F20+I20+L20+C40+F40</f>
        <v>7755598000</v>
      </c>
      <c r="J40" s="280"/>
      <c r="K40" s="350"/>
    </row>
    <row r="41" spans="1:13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3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4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J6:J7"/>
    <mergeCell ref="F6:F7"/>
    <mergeCell ref="G6:G7"/>
    <mergeCell ref="H6:H7"/>
    <mergeCell ref="I6:I7"/>
    <mergeCell ref="K26:K27"/>
    <mergeCell ref="A42:M42"/>
    <mergeCell ref="E26:E27"/>
    <mergeCell ref="F26:F27"/>
    <mergeCell ref="G26:G27"/>
    <mergeCell ref="H26:H27"/>
    <mergeCell ref="I26:I27"/>
    <mergeCell ref="J26:J27"/>
    <mergeCell ref="A24:A27"/>
    <mergeCell ref="B24:D25"/>
    <mergeCell ref="E24:G25"/>
    <mergeCell ref="H24:J25"/>
    <mergeCell ref="B26:B27"/>
    <mergeCell ref="C26:C27"/>
    <mergeCell ref="D26:D2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5" tint="-0.499984740745262"/>
    <pageSetUpPr fitToPage="1"/>
  </sheetPr>
  <dimension ref="A1:S73"/>
  <sheetViews>
    <sheetView showGridLines="0" zoomScale="130" zoomScaleNormal="130" zoomScaleSheetLayoutView="100" workbookViewId="0">
      <selection activeCell="G76" sqref="G76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8.5" x14ac:dyDescent="0.45">
      <c r="A1" s="57"/>
      <c r="B1" s="656" t="s">
        <v>110</v>
      </c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7"/>
      <c r="S1" s="657"/>
    </row>
    <row r="2" spans="1:19" ht="20.25" x14ac:dyDescent="0.3">
      <c r="B2" s="587" t="s">
        <v>121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92"/>
      <c r="P2" s="592"/>
      <c r="Q2" s="592"/>
      <c r="R2" s="592"/>
      <c r="S2" s="592"/>
    </row>
    <row r="3" spans="1:19" ht="12.75" customHeight="1" x14ac:dyDescent="0.25">
      <c r="A3" s="59"/>
    </row>
    <row r="38" spans="11:19" x14ac:dyDescent="0.2">
      <c r="K38" s="60"/>
    </row>
    <row r="39" spans="11:19" x14ac:dyDescent="0.2">
      <c r="K39" s="60"/>
    </row>
    <row r="44" spans="11:19" x14ac:dyDescent="0.2">
      <c r="K44" s="61"/>
      <c r="L44" s="62"/>
      <c r="M44" s="62"/>
      <c r="N44" s="62"/>
      <c r="O44" s="62"/>
      <c r="P44" s="62"/>
      <c r="Q44" s="62"/>
      <c r="R44" s="62"/>
      <c r="S44" s="62"/>
    </row>
    <row r="45" spans="11:19" x14ac:dyDescent="0.2">
      <c r="L45" s="62"/>
      <c r="M45" s="62"/>
      <c r="N45" s="62"/>
      <c r="O45" s="62"/>
      <c r="P45" s="62"/>
      <c r="Q45" s="62"/>
      <c r="R45" s="62"/>
      <c r="S45" s="62"/>
    </row>
    <row r="46" spans="11:19" x14ac:dyDescent="0.2">
      <c r="L46" s="62"/>
      <c r="M46" s="62"/>
      <c r="N46" s="62"/>
      <c r="O46" s="62"/>
      <c r="P46" s="62"/>
      <c r="Q46" s="62"/>
      <c r="R46" s="62"/>
      <c r="S46" s="62"/>
    </row>
    <row r="47" spans="11:19" x14ac:dyDescent="0.2">
      <c r="K47" s="61"/>
      <c r="L47" s="62"/>
      <c r="M47" s="62"/>
      <c r="N47" s="62"/>
      <c r="O47" s="62"/>
      <c r="P47" s="62"/>
      <c r="Q47" s="62"/>
      <c r="R47" s="62"/>
      <c r="S47" s="62"/>
    </row>
    <row r="48" spans="11:19" x14ac:dyDescent="0.2">
      <c r="K48" s="61" t="s">
        <v>35</v>
      </c>
      <c r="L48" s="62"/>
      <c r="M48" s="62"/>
      <c r="N48" s="62"/>
      <c r="O48" s="62"/>
      <c r="P48" s="62"/>
      <c r="Q48" s="62"/>
      <c r="R48" s="62"/>
      <c r="S48" s="62"/>
    </row>
    <row r="49" spans="1:19" x14ac:dyDescent="0.2">
      <c r="L49" s="62"/>
      <c r="M49" s="62"/>
      <c r="N49" s="62"/>
      <c r="O49" s="62"/>
      <c r="P49" s="62"/>
      <c r="Q49" s="62"/>
      <c r="R49" s="62"/>
      <c r="S49" s="62"/>
    </row>
    <row r="50" spans="1:19" ht="28.5" x14ac:dyDescent="0.45">
      <c r="A50" s="57"/>
      <c r="B50" s="656" t="s">
        <v>111</v>
      </c>
      <c r="C50" s="657"/>
      <c r="D50" s="657"/>
      <c r="E50" s="657"/>
      <c r="F50" s="657"/>
      <c r="G50" s="657"/>
      <c r="H50" s="657"/>
      <c r="I50" s="657"/>
      <c r="J50" s="657"/>
      <c r="K50" s="657"/>
      <c r="L50" s="657"/>
      <c r="M50" s="657"/>
      <c r="N50" s="657"/>
      <c r="O50" s="657"/>
      <c r="P50" s="657"/>
      <c r="Q50" s="657"/>
      <c r="R50" s="657"/>
      <c r="S50" s="657"/>
    </row>
    <row r="51" spans="1:19" ht="20.25" x14ac:dyDescent="0.3">
      <c r="B51" s="587" t="s">
        <v>121</v>
      </c>
      <c r="C51" s="586"/>
      <c r="D51" s="586"/>
      <c r="E51" s="586"/>
      <c r="F51" s="586"/>
      <c r="G51" s="586"/>
      <c r="H51" s="586"/>
      <c r="I51" s="586"/>
      <c r="J51" s="586"/>
      <c r="K51" s="586"/>
      <c r="L51" s="586"/>
      <c r="M51" s="586"/>
      <c r="N51" s="586"/>
      <c r="O51" s="592"/>
      <c r="P51" s="592"/>
      <c r="Q51" s="592"/>
      <c r="R51" s="592"/>
      <c r="S51" s="592"/>
    </row>
    <row r="73" spans="11:19" x14ac:dyDescent="0.2">
      <c r="K73" s="632"/>
      <c r="L73" s="633"/>
      <c r="M73" s="633"/>
      <c r="N73" s="633"/>
      <c r="O73" s="633"/>
      <c r="P73" s="633"/>
      <c r="Q73" s="633"/>
      <c r="R73" s="633"/>
      <c r="S73" s="633"/>
    </row>
  </sheetData>
  <mergeCells count="5">
    <mergeCell ref="B1:S1"/>
    <mergeCell ref="B2:S2"/>
    <mergeCell ref="B50:S50"/>
    <mergeCell ref="B51:S51"/>
    <mergeCell ref="K73:S73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6" fitToHeight="2" orientation="landscape" r:id="rId1"/>
  <headerFooter alignWithMargins="0"/>
  <rowBreaks count="1" manualBreakCount="1">
    <brk id="49" max="19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5" tint="-0.499984740745262"/>
    <pageSetUpPr fitToPage="1"/>
  </sheetPr>
  <dimension ref="A1:N48"/>
  <sheetViews>
    <sheetView showGridLines="0" topLeftCell="A16" zoomScale="130" zoomScaleNormal="130" workbookViewId="0">
      <selection activeCell="J15" sqref="J15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85" t="s">
        <v>112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20.25" x14ac:dyDescent="0.3">
      <c r="A2" s="638" t="s">
        <v>121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67" t="s">
        <v>2</v>
      </c>
      <c r="B4" s="588" t="s">
        <v>95</v>
      </c>
      <c r="C4" s="640"/>
      <c r="D4" s="641"/>
      <c r="E4" s="647" t="s">
        <v>94</v>
      </c>
      <c r="F4" s="640"/>
      <c r="G4" s="641"/>
      <c r="H4" s="591" t="s">
        <v>93</v>
      </c>
      <c r="I4" s="640"/>
      <c r="J4" s="641"/>
      <c r="K4" s="570" t="s">
        <v>92</v>
      </c>
      <c r="L4" s="640"/>
      <c r="M4" s="641"/>
      <c r="N4" s="73"/>
    </row>
    <row r="5" spans="1:14" ht="13.5" customHeight="1" thickBot="1" x14ac:dyDescent="0.25">
      <c r="A5" s="645"/>
      <c r="B5" s="642"/>
      <c r="C5" s="643"/>
      <c r="D5" s="644"/>
      <c r="E5" s="642"/>
      <c r="F5" s="643"/>
      <c r="G5" s="644"/>
      <c r="H5" s="642"/>
      <c r="I5" s="643"/>
      <c r="J5" s="644"/>
      <c r="K5" s="642"/>
      <c r="L5" s="643"/>
      <c r="M5" s="644"/>
      <c r="N5" s="71"/>
    </row>
    <row r="6" spans="1:14" ht="12.75" customHeight="1" x14ac:dyDescent="0.2">
      <c r="A6" s="645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84" t="s">
        <v>6</v>
      </c>
      <c r="I6" s="557" t="s">
        <v>31</v>
      </c>
      <c r="J6" s="559" t="s">
        <v>32</v>
      </c>
      <c r="K6" s="584" t="s">
        <v>23</v>
      </c>
      <c r="L6" s="557" t="s">
        <v>31</v>
      </c>
      <c r="M6" s="559" t="s">
        <v>32</v>
      </c>
    </row>
    <row r="7" spans="1:14" ht="13.5" thickBot="1" x14ac:dyDescent="0.25">
      <c r="A7" s="646"/>
      <c r="B7" s="636"/>
      <c r="C7" s="635"/>
      <c r="D7" s="634"/>
      <c r="E7" s="636"/>
      <c r="F7" s="635"/>
      <c r="G7" s="634"/>
      <c r="H7" s="636"/>
      <c r="I7" s="635"/>
      <c r="J7" s="634"/>
      <c r="K7" s="636"/>
      <c r="L7" s="635"/>
      <c r="M7" s="634"/>
    </row>
    <row r="8" spans="1:14" ht="14.1" customHeight="1" x14ac:dyDescent="0.2">
      <c r="A8" s="245" t="s">
        <v>7</v>
      </c>
      <c r="B8" s="247">
        <f>71605997.24+101329266.98</f>
        <v>172935264.22</v>
      </c>
      <c r="C8" s="248">
        <f>C20/12</f>
        <v>157645583.33333334</v>
      </c>
      <c r="D8" s="249">
        <f>B8-C8</f>
        <v>15289680.886666656</v>
      </c>
      <c r="E8" s="250">
        <f>4894422.38+6926071.15</f>
        <v>11820493.530000001</v>
      </c>
      <c r="F8" s="248">
        <f>F20/12</f>
        <v>10774166.666666666</v>
      </c>
      <c r="G8" s="249">
        <f>E8-F8</f>
        <v>1046326.8633333351</v>
      </c>
      <c r="H8" s="250">
        <f>3968369.06+830945.06</f>
        <v>4799314.12</v>
      </c>
      <c r="I8" s="248">
        <f>I20/12</f>
        <v>3243166.6666666665</v>
      </c>
      <c r="J8" s="251">
        <f>H8-I8</f>
        <v>1556147.4533333336</v>
      </c>
      <c r="K8" s="250">
        <f>8822763.75+4916547.55</f>
        <v>13739311.300000001</v>
      </c>
      <c r="L8" s="248">
        <f>L20/12</f>
        <v>13986750</v>
      </c>
      <c r="M8" s="251">
        <f>K8-L8</f>
        <v>-247438.69999999925</v>
      </c>
    </row>
    <row r="9" spans="1:14" ht="14.1" customHeight="1" x14ac:dyDescent="0.2">
      <c r="A9" s="246" t="s">
        <v>8</v>
      </c>
      <c r="B9" s="252">
        <f>65744580.69+96997598.06+B8</f>
        <v>335677442.97000003</v>
      </c>
      <c r="C9" s="253">
        <f>C8*2</f>
        <v>315291166.66666669</v>
      </c>
      <c r="D9" s="249">
        <f>B9-C9</f>
        <v>20386276.303333342</v>
      </c>
      <c r="E9" s="247">
        <f>4493782.07+6629992.4+E8</f>
        <v>22944268</v>
      </c>
      <c r="F9" s="253">
        <f>F8*2</f>
        <v>21548333.333333332</v>
      </c>
      <c r="G9" s="249">
        <f t="shared" ref="G9:G19" si="0">E9-F9</f>
        <v>1395934.6666666679</v>
      </c>
      <c r="H9" s="247">
        <f>1398316.3+1175936.36+H8</f>
        <v>7373566.7800000003</v>
      </c>
      <c r="I9" s="253">
        <f>I8*2</f>
        <v>6486333.333333333</v>
      </c>
      <c r="J9" s="249">
        <f t="shared" ref="J9:J19" si="1">H9-I9</f>
        <v>887233.44666666724</v>
      </c>
      <c r="K9" s="252">
        <f>11423499.74+4384097.03+K8</f>
        <v>29546908.07</v>
      </c>
      <c r="L9" s="253">
        <f>L8*2</f>
        <v>27973500</v>
      </c>
      <c r="M9" s="249">
        <f t="shared" ref="M9:M19" si="2">K9-L9</f>
        <v>1573408.0700000003</v>
      </c>
    </row>
    <row r="10" spans="1:14" ht="14.1" customHeight="1" x14ac:dyDescent="0.2">
      <c r="A10" s="246" t="s">
        <v>9</v>
      </c>
      <c r="B10" s="252">
        <f>56455013.72+80995880.15+B9</f>
        <v>473128336.84000003</v>
      </c>
      <c r="C10" s="253">
        <f>C8*3</f>
        <v>472936750</v>
      </c>
      <c r="D10" s="249">
        <f>B10-C10</f>
        <v>191586.84000003338</v>
      </c>
      <c r="E10" s="247">
        <f>3858820.38+5536240.88+E9</f>
        <v>32339329.259999998</v>
      </c>
      <c r="F10" s="254">
        <f>F8*3</f>
        <v>32322500</v>
      </c>
      <c r="G10" s="249">
        <f t="shared" si="0"/>
        <v>16829.259999997914</v>
      </c>
      <c r="H10" s="247">
        <f>2281145.83+3267947.7+H9</f>
        <v>12922660.310000001</v>
      </c>
      <c r="I10" s="254">
        <f>I8*3</f>
        <v>9729500</v>
      </c>
      <c r="J10" s="249">
        <f t="shared" si="1"/>
        <v>3193160.3100000005</v>
      </c>
      <c r="K10" s="252">
        <f>4322578.77+5483337.8+K9</f>
        <v>39352824.640000001</v>
      </c>
      <c r="L10" s="254">
        <f>L8*3</f>
        <v>41960250</v>
      </c>
      <c r="M10" s="249">
        <f t="shared" si="2"/>
        <v>-2607425.3599999994</v>
      </c>
    </row>
    <row r="11" spans="1:14" ht="14.1" customHeight="1" x14ac:dyDescent="0.2">
      <c r="A11" s="246" t="s">
        <v>10</v>
      </c>
      <c r="B11" s="252">
        <f>48070126.83+77156595.18+B10</f>
        <v>598355058.85000002</v>
      </c>
      <c r="C11" s="253">
        <f>C8*4</f>
        <v>630582333.33333337</v>
      </c>
      <c r="D11" s="249">
        <f t="shared" ref="D11:D19" si="3">B11-C11</f>
        <v>-32227274.483333349</v>
      </c>
      <c r="E11" s="247">
        <f>3285695.53+5273817.57+E10</f>
        <v>40898842.359999999</v>
      </c>
      <c r="F11" s="253">
        <f>F8*4</f>
        <v>43096666.666666664</v>
      </c>
      <c r="G11" s="249">
        <f t="shared" si="0"/>
        <v>-2197824.3066666648</v>
      </c>
      <c r="H11" s="247">
        <f t="shared" ref="H11:H15" si="4">H10</f>
        <v>12922660.310000001</v>
      </c>
      <c r="I11" s="253">
        <f>I8*4</f>
        <v>12972666.666666666</v>
      </c>
      <c r="J11" s="249">
        <f t="shared" si="1"/>
        <v>-50006.356666665524</v>
      </c>
      <c r="K11" s="252">
        <f>5426080.32+6110250.12+K10</f>
        <v>50889155.079999998</v>
      </c>
      <c r="L11" s="253">
        <f>L8*4</f>
        <v>55947000</v>
      </c>
      <c r="M11" s="249">
        <f t="shared" si="2"/>
        <v>-5057844.9200000018</v>
      </c>
    </row>
    <row r="12" spans="1:14" ht="14.1" customHeight="1" x14ac:dyDescent="0.2">
      <c r="A12" s="246" t="s">
        <v>11</v>
      </c>
      <c r="B12" s="252">
        <f>48146073.65+104949191.77+B11</f>
        <v>751450324.26999998</v>
      </c>
      <c r="C12" s="253">
        <f>C8*5</f>
        <v>788227916.66666675</v>
      </c>
      <c r="D12" s="249">
        <f t="shared" si="3"/>
        <v>-36777592.396666765</v>
      </c>
      <c r="E12" s="247">
        <f>3290886.64+7173500.72+E11</f>
        <v>51363229.719999999</v>
      </c>
      <c r="F12" s="253">
        <f>F8*5</f>
        <v>53870833.333333328</v>
      </c>
      <c r="G12" s="249">
        <f t="shared" si="0"/>
        <v>-2507603.6133333296</v>
      </c>
      <c r="H12" s="247">
        <f t="shared" si="4"/>
        <v>12922660.310000001</v>
      </c>
      <c r="I12" s="253">
        <f>I8*5</f>
        <v>16215833.333333332</v>
      </c>
      <c r="J12" s="249">
        <f t="shared" si="1"/>
        <v>-3293173.0233333316</v>
      </c>
      <c r="K12" s="252">
        <f>7594227.23+5756348.65+K11</f>
        <v>64239730.960000001</v>
      </c>
      <c r="L12" s="253">
        <f>L8*5</f>
        <v>69933750</v>
      </c>
      <c r="M12" s="249">
        <f>K12-L12</f>
        <v>-5694019.0399999991</v>
      </c>
    </row>
    <row r="13" spans="1:14" ht="14.1" customHeight="1" x14ac:dyDescent="0.2">
      <c r="A13" s="246" t="s">
        <v>12</v>
      </c>
      <c r="B13" s="252">
        <f>66523906.41+102548362.59+B12</f>
        <v>920522593.26999998</v>
      </c>
      <c r="C13" s="253">
        <f>C8*6</f>
        <v>945873500</v>
      </c>
      <c r="D13" s="249">
        <f t="shared" si="3"/>
        <v>-25350906.730000019</v>
      </c>
      <c r="E13" s="247">
        <f>4547050.68+7009398.94+E12</f>
        <v>62919679.340000004</v>
      </c>
      <c r="F13" s="253">
        <f>F8*6</f>
        <v>64645000</v>
      </c>
      <c r="G13" s="249">
        <f t="shared" si="0"/>
        <v>-1725320.6599999964</v>
      </c>
      <c r="H13" s="247">
        <f t="shared" si="4"/>
        <v>12922660.310000001</v>
      </c>
      <c r="I13" s="253">
        <f>I8*6</f>
        <v>19459000</v>
      </c>
      <c r="J13" s="249">
        <f t="shared" si="1"/>
        <v>-6536339.6899999995</v>
      </c>
      <c r="K13" s="252">
        <f>9124545.13+6651990.17+K12</f>
        <v>80016266.260000005</v>
      </c>
      <c r="L13" s="253">
        <f>L8*6</f>
        <v>83920500</v>
      </c>
      <c r="M13" s="249">
        <f t="shared" si="2"/>
        <v>-3904233.7399999946</v>
      </c>
    </row>
    <row r="14" spans="1:14" ht="14.1" customHeight="1" x14ac:dyDescent="0.2">
      <c r="A14" s="246" t="s">
        <v>13</v>
      </c>
      <c r="B14" s="252">
        <f>69530573.25+104924651.98+B13</f>
        <v>1094977818.5</v>
      </c>
      <c r="C14" s="253">
        <f>C8*7</f>
        <v>1103519083.3333335</v>
      </c>
      <c r="D14" s="249">
        <f t="shared" si="3"/>
        <v>-8541264.8333334923</v>
      </c>
      <c r="E14" s="247">
        <f>4752562.7+7171823.42+E13</f>
        <v>74844065.460000008</v>
      </c>
      <c r="F14" s="253">
        <f>F8*7</f>
        <v>75419166.666666657</v>
      </c>
      <c r="G14" s="249">
        <f t="shared" si="0"/>
        <v>-575101.20666664839</v>
      </c>
      <c r="H14" s="247">
        <f>1953079.43+8948708.87+H13</f>
        <v>23824448.609999999</v>
      </c>
      <c r="I14" s="253">
        <f>I8*7</f>
        <v>22702166.666666664</v>
      </c>
      <c r="J14" s="249">
        <f t="shared" si="1"/>
        <v>1122281.9433333352</v>
      </c>
      <c r="K14" s="252">
        <f>10140215.57+9799690.18+K13</f>
        <v>99956172.010000005</v>
      </c>
      <c r="L14" s="253">
        <f>L8*7</f>
        <v>97907250</v>
      </c>
      <c r="M14" s="249">
        <f t="shared" si="2"/>
        <v>2048922.0100000054</v>
      </c>
    </row>
    <row r="15" spans="1:14" ht="14.1" customHeight="1" x14ac:dyDescent="0.2">
      <c r="A15" s="246" t="s">
        <v>14</v>
      </c>
      <c r="B15" s="252">
        <f>64004109.34+107536136.6+B14</f>
        <v>1266518064.4400001</v>
      </c>
      <c r="C15" s="253">
        <f>C8*8</f>
        <v>1261164666.6666667</v>
      </c>
      <c r="D15" s="249">
        <f t="shared" si="3"/>
        <v>5353397.7733333111</v>
      </c>
      <c r="E15" s="247">
        <f>4374817.14+7350323.91+E14</f>
        <v>86569206.510000005</v>
      </c>
      <c r="F15" s="253">
        <f>F8*8</f>
        <v>86193333.333333328</v>
      </c>
      <c r="G15" s="249">
        <f t="shared" si="0"/>
        <v>375873.176666677</v>
      </c>
      <c r="H15" s="247">
        <f t="shared" si="4"/>
        <v>23824448.609999999</v>
      </c>
      <c r="I15" s="253">
        <f>I8*8</f>
        <v>25945333.333333332</v>
      </c>
      <c r="J15" s="249">
        <f t="shared" si="1"/>
        <v>-2120884.7233333327</v>
      </c>
      <c r="K15" s="252">
        <f>12186199.55+6377427.62+K14</f>
        <v>118519799.18000001</v>
      </c>
      <c r="L15" s="253">
        <f>L8*8</f>
        <v>111894000</v>
      </c>
      <c r="M15" s="249">
        <f t="shared" si="2"/>
        <v>6625799.1800000072</v>
      </c>
    </row>
    <row r="16" spans="1:14" ht="14.1" customHeight="1" x14ac:dyDescent="0.2">
      <c r="A16" s="246" t="s">
        <v>15</v>
      </c>
      <c r="B16" s="252">
        <f>62103545.61+78822821.95+B15</f>
        <v>1407444432</v>
      </c>
      <c r="C16" s="253">
        <f>C8*9</f>
        <v>1418810250</v>
      </c>
      <c r="D16" s="249">
        <f t="shared" si="3"/>
        <v>-11365818</v>
      </c>
      <c r="E16" s="247">
        <f>4244909.58+5258973.73+E15</f>
        <v>96073089.820000008</v>
      </c>
      <c r="F16" s="253">
        <f>F8*9</f>
        <v>96967500</v>
      </c>
      <c r="G16" s="249">
        <f t="shared" si="0"/>
        <v>-894410.17999999225</v>
      </c>
      <c r="H16" s="247">
        <f>6822741.69+H15</f>
        <v>30647190.300000001</v>
      </c>
      <c r="I16" s="253">
        <f>I8*9</f>
        <v>29188500</v>
      </c>
      <c r="J16" s="249">
        <f t="shared" si="1"/>
        <v>1458690.3000000007</v>
      </c>
      <c r="K16" s="252">
        <f>9979211.57+7945575.82+K15</f>
        <v>136444586.56999999</v>
      </c>
      <c r="L16" s="253">
        <f>L8*9</f>
        <v>125880750</v>
      </c>
      <c r="M16" s="249">
        <f t="shared" si="2"/>
        <v>10563836.569999993</v>
      </c>
    </row>
    <row r="17" spans="1:13" ht="14.1" customHeight="1" x14ac:dyDescent="0.2">
      <c r="A17" s="246" t="s">
        <v>16</v>
      </c>
      <c r="B17" s="252">
        <f>66475821.13+98395049.42+B16</f>
        <v>1572315302.55</v>
      </c>
      <c r="C17" s="253">
        <f>C8*10</f>
        <v>1576455833.3333335</v>
      </c>
      <c r="D17" s="249">
        <f t="shared" si="3"/>
        <v>-4140530.78333354</v>
      </c>
      <c r="E17" s="247">
        <f>4537357.72+6716028.84+E16</f>
        <v>107326476.38000001</v>
      </c>
      <c r="F17" s="253">
        <f>F8*10</f>
        <v>107741666.66666666</v>
      </c>
      <c r="G17" s="249">
        <f t="shared" si="0"/>
        <v>-415190.2866666466</v>
      </c>
      <c r="H17" s="247">
        <f>3883353.98+1016038.59+H16</f>
        <v>35546582.870000005</v>
      </c>
      <c r="I17" s="253">
        <f>I8*10</f>
        <v>32431666.666666664</v>
      </c>
      <c r="J17" s="249">
        <f t="shared" si="1"/>
        <v>3114916.2033333406</v>
      </c>
      <c r="K17" s="252">
        <f>11047571+6412975.59+K16</f>
        <v>153905133.16</v>
      </c>
      <c r="L17" s="253">
        <f>L8*10</f>
        <v>139867500</v>
      </c>
      <c r="M17" s="249">
        <f t="shared" si="2"/>
        <v>14037633.159999996</v>
      </c>
    </row>
    <row r="18" spans="1:13" ht="14.1" customHeight="1" x14ac:dyDescent="0.2">
      <c r="A18" s="246" t="s">
        <v>17</v>
      </c>
      <c r="B18" s="252">
        <f>61370335.66+106681104.35+B17</f>
        <v>1740366742.5599999</v>
      </c>
      <c r="C18" s="253">
        <f>C8*11</f>
        <v>1734101416.6666667</v>
      </c>
      <c r="D18" s="249">
        <f t="shared" si="3"/>
        <v>6265325.8933331966</v>
      </c>
      <c r="E18" s="247">
        <f>4188878.92+7281599.81+E17</f>
        <v>118796955.11000001</v>
      </c>
      <c r="F18" s="253">
        <f>F8*11</f>
        <v>118515833.33333333</v>
      </c>
      <c r="G18" s="249">
        <f t="shared" si="0"/>
        <v>281121.77666668594</v>
      </c>
      <c r="H18" s="247">
        <f>1334207.93+844844.33+H17</f>
        <v>37725635.130000003</v>
      </c>
      <c r="I18" s="253">
        <f>I8*11</f>
        <v>35674833.333333328</v>
      </c>
      <c r="J18" s="249">
        <f t="shared" si="1"/>
        <v>2050801.7966666743</v>
      </c>
      <c r="K18" s="252">
        <f>9120336.79+6017945.92+K17</f>
        <v>169043415.87</v>
      </c>
      <c r="L18" s="253">
        <f>L8*11</f>
        <v>153854250</v>
      </c>
      <c r="M18" s="249">
        <f t="shared" si="2"/>
        <v>15189165.870000005</v>
      </c>
    </row>
    <row r="19" spans="1:13" ht="14.1" customHeight="1" thickBot="1" x14ac:dyDescent="0.25">
      <c r="A19" s="339" t="s">
        <v>18</v>
      </c>
      <c r="B19" s="252">
        <f>60630552.23+132182730.72+B18</f>
        <v>1933180025.51</v>
      </c>
      <c r="C19" s="332">
        <f>C8*12</f>
        <v>1891747000</v>
      </c>
      <c r="D19" s="249">
        <f t="shared" si="3"/>
        <v>41433025.50999999</v>
      </c>
      <c r="E19" s="247">
        <f>4138384.43+9022232.75+E18</f>
        <v>131957572.29000002</v>
      </c>
      <c r="F19" s="332">
        <f>F8*12</f>
        <v>129290000</v>
      </c>
      <c r="G19" s="249">
        <f t="shared" si="0"/>
        <v>2667572.2900000215</v>
      </c>
      <c r="H19" s="247">
        <f>1031942.53+15519190.19+H18</f>
        <v>54276767.850000001</v>
      </c>
      <c r="I19" s="332">
        <f>I8*12</f>
        <v>38918000</v>
      </c>
      <c r="J19" s="249">
        <f t="shared" si="1"/>
        <v>15358767.850000001</v>
      </c>
      <c r="K19" s="252">
        <f>6530751.09+7467339.56+K18</f>
        <v>183041506.52000001</v>
      </c>
      <c r="L19" s="332">
        <f>L8*12</f>
        <v>167841000</v>
      </c>
      <c r="M19" s="249">
        <f t="shared" si="2"/>
        <v>15200506.520000011</v>
      </c>
    </row>
    <row r="20" spans="1:13" ht="15" customHeight="1" thickBot="1" x14ac:dyDescent="0.25">
      <c r="A20" s="257" t="s">
        <v>19</v>
      </c>
      <c r="B20" s="345">
        <f>B19</f>
        <v>1933180025.51</v>
      </c>
      <c r="C20" s="258">
        <v>1891747000</v>
      </c>
      <c r="D20" s="259"/>
      <c r="E20" s="345">
        <f>E19</f>
        <v>131957572.29000002</v>
      </c>
      <c r="F20" s="258">
        <v>129290000</v>
      </c>
      <c r="G20" s="260"/>
      <c r="H20" s="345">
        <f>H19</f>
        <v>54276767.850000001</v>
      </c>
      <c r="I20" s="258">
        <v>38918000</v>
      </c>
      <c r="J20" s="260"/>
      <c r="K20" s="345">
        <f>K19</f>
        <v>183041506.52000001</v>
      </c>
      <c r="L20" s="258">
        <v>167841000</v>
      </c>
      <c r="M20" s="375"/>
    </row>
    <row r="21" spans="1:13" ht="15.7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5.7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5.7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2.75" customHeight="1" x14ac:dyDescent="0.2">
      <c r="A24" s="567" t="s">
        <v>2</v>
      </c>
      <c r="B24" s="576" t="s">
        <v>20</v>
      </c>
      <c r="C24" s="648"/>
      <c r="D24" s="649"/>
      <c r="E24" s="582" t="s">
        <v>21</v>
      </c>
      <c r="F24" s="648"/>
      <c r="G24" s="649"/>
      <c r="H24" s="583" t="s">
        <v>22</v>
      </c>
      <c r="I24" s="648"/>
      <c r="J24" s="649"/>
      <c r="K24" s="370"/>
    </row>
    <row r="25" spans="1:13" ht="13.5" thickBot="1" x14ac:dyDescent="0.25">
      <c r="A25" s="645"/>
      <c r="B25" s="650"/>
      <c r="C25" s="651"/>
      <c r="D25" s="652"/>
      <c r="E25" s="650"/>
      <c r="F25" s="651"/>
      <c r="G25" s="652"/>
      <c r="H25" s="650"/>
      <c r="I25" s="651"/>
      <c r="J25" s="652"/>
      <c r="K25" s="370"/>
    </row>
    <row r="26" spans="1:13" ht="12.75" customHeight="1" x14ac:dyDescent="0.2">
      <c r="A26" s="645"/>
      <c r="B26" s="563" t="s">
        <v>24</v>
      </c>
      <c r="C26" s="557" t="s">
        <v>31</v>
      </c>
      <c r="D26" s="559" t="s">
        <v>32</v>
      </c>
      <c r="E26" s="563" t="s">
        <v>25</v>
      </c>
      <c r="F26" s="557" t="s">
        <v>31</v>
      </c>
      <c r="G26" s="559" t="s">
        <v>32</v>
      </c>
      <c r="H26" s="566" t="s">
        <v>19</v>
      </c>
      <c r="I26" s="557" t="s">
        <v>31</v>
      </c>
      <c r="J26" s="559" t="s">
        <v>32</v>
      </c>
      <c r="K26" s="553" t="s">
        <v>37</v>
      </c>
    </row>
    <row r="27" spans="1:13" ht="13.5" thickBot="1" x14ac:dyDescent="0.25">
      <c r="A27" s="646"/>
      <c r="B27" s="655"/>
      <c r="C27" s="635"/>
      <c r="D27" s="634"/>
      <c r="E27" s="655"/>
      <c r="F27" s="654"/>
      <c r="G27" s="634"/>
      <c r="H27" s="636"/>
      <c r="I27" s="635"/>
      <c r="J27" s="634"/>
      <c r="K27" s="653"/>
    </row>
    <row r="28" spans="1:13" ht="14.1" customHeight="1" x14ac:dyDescent="0.2">
      <c r="A28" s="261" t="s">
        <v>7</v>
      </c>
      <c r="B28" s="262">
        <f>103157844.05+3705625.4</f>
        <v>106863469.45</v>
      </c>
      <c r="C28" s="248">
        <f>C40/12</f>
        <v>136062583.33333334</v>
      </c>
      <c r="D28" s="251">
        <f>B28-C28</f>
        <v>-29199113.88333334</v>
      </c>
      <c r="E28" s="263">
        <f>297932194.59+35270116.05</f>
        <v>333202310.63999999</v>
      </c>
      <c r="F28" s="264">
        <f>F40/12</f>
        <v>324587583.33333331</v>
      </c>
      <c r="G28" s="265">
        <f>E28-F28</f>
        <v>8614727.3066666722</v>
      </c>
      <c r="H28" s="266">
        <f t="shared" ref="H28:H40" si="5">$B8+$E8+$H8+$K8+$B28+$E28</f>
        <v>643360163.25999999</v>
      </c>
      <c r="I28" s="264">
        <f>I40/12</f>
        <v>646299833.33333337</v>
      </c>
      <c r="J28" s="267">
        <f>H28-I28</f>
        <v>-2939670.0733333826</v>
      </c>
      <c r="K28" s="268">
        <f>J28/I40</f>
        <v>-3.7903847947423045E-4</v>
      </c>
    </row>
    <row r="29" spans="1:13" ht="14.1" customHeight="1" x14ac:dyDescent="0.2">
      <c r="A29" s="269" t="s">
        <v>8</v>
      </c>
      <c r="B29" s="270">
        <f>4082865.34+6037077.15+B28</f>
        <v>116983411.94</v>
      </c>
      <c r="C29" s="253">
        <f>C28*2</f>
        <v>272125166.66666669</v>
      </c>
      <c r="D29" s="249">
        <f t="shared" ref="D29:D39" si="6">B29-C29</f>
        <v>-155141754.72666669</v>
      </c>
      <c r="E29" s="271">
        <f>369687922.62+24091063.99+E28</f>
        <v>726981297.25</v>
      </c>
      <c r="F29" s="254">
        <f>F28*2</f>
        <v>649175166.66666663</v>
      </c>
      <c r="G29" s="249">
        <f t="shared" ref="G29:G39" si="7">E29-F29</f>
        <v>77806130.583333373</v>
      </c>
      <c r="H29" s="256">
        <f t="shared" si="5"/>
        <v>1239506895.01</v>
      </c>
      <c r="I29" s="254">
        <f>I28*2</f>
        <v>1292599666.6666667</v>
      </c>
      <c r="J29" s="249">
        <f t="shared" ref="J29:J39" si="8">H29-I29</f>
        <v>-53092771.656666756</v>
      </c>
      <c r="K29" s="272">
        <f>J29/I40</f>
        <v>-6.8457353845140963E-3</v>
      </c>
    </row>
    <row r="30" spans="1:13" ht="14.1" customHeight="1" x14ac:dyDescent="0.2">
      <c r="A30" s="269" t="s">
        <v>9</v>
      </c>
      <c r="B30" s="273">
        <f>6498575.54+281953401.35+B29</f>
        <v>405435388.83000004</v>
      </c>
      <c r="C30" s="254">
        <f>C28*3</f>
        <v>408187750</v>
      </c>
      <c r="D30" s="249">
        <f t="shared" si="6"/>
        <v>-2752361.1699999571</v>
      </c>
      <c r="E30" s="271">
        <f>164152322.73+17222897.39+E29</f>
        <v>908356517.37</v>
      </c>
      <c r="F30" s="254">
        <f>F28*3</f>
        <v>973762750</v>
      </c>
      <c r="G30" s="249">
        <f t="shared" si="7"/>
        <v>-65406232.629999995</v>
      </c>
      <c r="H30" s="255">
        <f t="shared" si="5"/>
        <v>1871535057.25</v>
      </c>
      <c r="I30" s="254">
        <f>I28*3</f>
        <v>1938899500</v>
      </c>
      <c r="J30" s="249">
        <f t="shared" si="8"/>
        <v>-67364442.75</v>
      </c>
      <c r="K30" s="272">
        <f>J30/I40</f>
        <v>-8.6859121308247283E-3</v>
      </c>
    </row>
    <row r="31" spans="1:13" ht="14.1" customHeight="1" x14ac:dyDescent="0.2">
      <c r="A31" s="269" t="s">
        <v>10</v>
      </c>
      <c r="B31" s="270">
        <f>63621866.19+30438551.55+B30</f>
        <v>499495806.57000005</v>
      </c>
      <c r="C31" s="253">
        <f>C28*4</f>
        <v>544250333.33333337</v>
      </c>
      <c r="D31" s="249">
        <f t="shared" si="6"/>
        <v>-44754526.763333321</v>
      </c>
      <c r="E31" s="271">
        <f>224217970.88+16208213.59+E30</f>
        <v>1148782701.8399999</v>
      </c>
      <c r="F31" s="253">
        <f>F28*4</f>
        <v>1298350333.3333333</v>
      </c>
      <c r="G31" s="249">
        <f t="shared" si="7"/>
        <v>-149567631.49333334</v>
      </c>
      <c r="H31" s="255">
        <f t="shared" si="5"/>
        <v>2351344225.0100002</v>
      </c>
      <c r="I31" s="253">
        <f>I28*4</f>
        <v>2585199333.3333335</v>
      </c>
      <c r="J31" s="249">
        <f t="shared" si="8"/>
        <v>-233855108.32333326</v>
      </c>
      <c r="K31" s="272">
        <f>J31/I40</f>
        <v>-3.0153072441781184E-2</v>
      </c>
    </row>
    <row r="32" spans="1:13" ht="14.1" customHeight="1" x14ac:dyDescent="0.2">
      <c r="A32" s="269" t="s">
        <v>11</v>
      </c>
      <c r="B32" s="273">
        <f>436290.95+6327765.28+B31</f>
        <v>506259862.80000007</v>
      </c>
      <c r="C32" s="253">
        <f>C28*5</f>
        <v>680312916.66666675</v>
      </c>
      <c r="D32" s="249">
        <f t="shared" si="6"/>
        <v>-174053053.86666667</v>
      </c>
      <c r="E32" s="271">
        <f>367729653.13+23679100.6+E31</f>
        <v>1540191455.5699999</v>
      </c>
      <c r="F32" s="253">
        <f>F28*5</f>
        <v>1622937916.6666665</v>
      </c>
      <c r="G32" s="249">
        <f t="shared" si="7"/>
        <v>-82746461.096666574</v>
      </c>
      <c r="H32" s="255">
        <f t="shared" si="5"/>
        <v>2926427263.6300001</v>
      </c>
      <c r="I32" s="253">
        <f>I28*5</f>
        <v>3231499166.666667</v>
      </c>
      <c r="J32" s="249">
        <f t="shared" si="8"/>
        <v>-305071903.03666687</v>
      </c>
      <c r="K32" s="272">
        <f>J32/I40</f>
        <v>-3.9335703454029834E-2</v>
      </c>
    </row>
    <row r="33" spans="1:13" ht="14.1" customHeight="1" x14ac:dyDescent="0.2">
      <c r="A33" s="269" t="s">
        <v>12</v>
      </c>
      <c r="B33" s="270">
        <f>11438771.78+231960801.62+B32</f>
        <v>749659436.20000005</v>
      </c>
      <c r="C33" s="253">
        <f>C28*6</f>
        <v>816375500</v>
      </c>
      <c r="D33" s="249">
        <f t="shared" si="6"/>
        <v>-66716063.799999952</v>
      </c>
      <c r="E33" s="271">
        <f>269432657.31+16282167.57+E32</f>
        <v>1825906280.4499998</v>
      </c>
      <c r="F33" s="253">
        <f>F28*6</f>
        <v>1947525500</v>
      </c>
      <c r="G33" s="249">
        <f t="shared" si="7"/>
        <v>-121619219.55000019</v>
      </c>
      <c r="H33" s="255">
        <f t="shared" si="5"/>
        <v>3651946915.8299999</v>
      </c>
      <c r="I33" s="253">
        <f>I28*6</f>
        <v>3877799000</v>
      </c>
      <c r="J33" s="249">
        <f t="shared" si="8"/>
        <v>-225852084.17000008</v>
      </c>
      <c r="K33" s="272">
        <f>J33/I40</f>
        <v>-2.9121169530705444E-2</v>
      </c>
    </row>
    <row r="34" spans="1:13" ht="14.1" customHeight="1" x14ac:dyDescent="0.2">
      <c r="A34" s="269" t="s">
        <v>13</v>
      </c>
      <c r="B34" s="273">
        <f>247511471+109836886.19+B33</f>
        <v>1107007793.3900001</v>
      </c>
      <c r="C34" s="253">
        <f>C28*7</f>
        <v>952438083.33333337</v>
      </c>
      <c r="D34" s="249">
        <f t="shared" si="6"/>
        <v>154569710.05666673</v>
      </c>
      <c r="E34" s="271">
        <f>278115364.36+34463201.29+E33</f>
        <v>2138484846.0999999</v>
      </c>
      <c r="F34" s="253">
        <f>F28*7</f>
        <v>2272113083.333333</v>
      </c>
      <c r="G34" s="249">
        <f t="shared" si="7"/>
        <v>-133628237.23333311</v>
      </c>
      <c r="H34" s="255">
        <f t="shared" si="5"/>
        <v>4539095144.0699997</v>
      </c>
      <c r="I34" s="253">
        <f>I28*7</f>
        <v>4524098833.333334</v>
      </c>
      <c r="J34" s="249">
        <f t="shared" si="8"/>
        <v>14996310.736665726</v>
      </c>
      <c r="K34" s="272">
        <f>J34/I40</f>
        <v>1.9336111459961856E-3</v>
      </c>
    </row>
    <row r="35" spans="1:13" ht="14.1" customHeight="1" x14ac:dyDescent="0.2">
      <c r="A35" s="269" t="s">
        <v>14</v>
      </c>
      <c r="B35" s="270">
        <f>0+B34</f>
        <v>1107007793.3900001</v>
      </c>
      <c r="C35" s="253">
        <f>C28*8</f>
        <v>1088500666.6666667</v>
      </c>
      <c r="D35" s="249">
        <f t="shared" si="6"/>
        <v>18507126.723333359</v>
      </c>
      <c r="E35" s="271">
        <f>361394693.03+29769585.38+E34</f>
        <v>2529649124.5099998</v>
      </c>
      <c r="F35" s="253">
        <f>F28*8</f>
        <v>2596700666.6666665</v>
      </c>
      <c r="G35" s="249">
        <f t="shared" si="7"/>
        <v>-67051542.156666756</v>
      </c>
      <c r="H35" s="255">
        <f t="shared" si="5"/>
        <v>5132088436.6399994</v>
      </c>
      <c r="I35" s="253">
        <f>I28*8</f>
        <v>5170398666.666667</v>
      </c>
      <c r="J35" s="249">
        <f t="shared" si="8"/>
        <v>-38310230.026667595</v>
      </c>
      <c r="K35" s="272">
        <f>J35/I40</f>
        <v>-4.9396874395330435E-3</v>
      </c>
    </row>
    <row r="36" spans="1:13" ht="14.1" customHeight="1" x14ac:dyDescent="0.2">
      <c r="A36" s="269" t="s">
        <v>15</v>
      </c>
      <c r="B36" s="273">
        <f>157121127.28+B35</f>
        <v>1264128920.6700001</v>
      </c>
      <c r="C36" s="253">
        <f>C28*9</f>
        <v>1224563250</v>
      </c>
      <c r="D36" s="249">
        <f t="shared" si="6"/>
        <v>39565670.670000076</v>
      </c>
      <c r="E36" s="271">
        <f>261499518.95+E35</f>
        <v>2791148643.4599996</v>
      </c>
      <c r="F36" s="253">
        <f>F28*9</f>
        <v>2921288250</v>
      </c>
      <c r="G36" s="249">
        <f t="shared" si="7"/>
        <v>-130139606.54000044</v>
      </c>
      <c r="H36" s="255">
        <f t="shared" si="5"/>
        <v>5725886862.8199997</v>
      </c>
      <c r="I36" s="253">
        <f>I28*9</f>
        <v>5816698500</v>
      </c>
      <c r="J36" s="249">
        <f t="shared" si="8"/>
        <v>-90811637.180000305</v>
      </c>
      <c r="K36" s="272">
        <f>J36/I40</f>
        <v>-1.1709172803954036E-2</v>
      </c>
    </row>
    <row r="37" spans="1:13" ht="14.1" customHeight="1" x14ac:dyDescent="0.2">
      <c r="A37" s="269" t="s">
        <v>16</v>
      </c>
      <c r="B37" s="270">
        <f>135502669.2+9694134.76+B36</f>
        <v>1409325724.6300001</v>
      </c>
      <c r="C37" s="253">
        <f>C28*10</f>
        <v>1360625833.3333335</v>
      </c>
      <c r="D37" s="249">
        <f t="shared" si="6"/>
        <v>48699891.296666622</v>
      </c>
      <c r="E37" s="271">
        <f>249370791.47+26401884.76+E36</f>
        <v>3066921319.6899996</v>
      </c>
      <c r="F37" s="253">
        <f>F28*10</f>
        <v>3245875833.333333</v>
      </c>
      <c r="G37" s="249">
        <f>E37-F37</f>
        <v>-178954513.64333344</v>
      </c>
      <c r="H37" s="255">
        <f t="shared" si="5"/>
        <v>6345340539.2799997</v>
      </c>
      <c r="I37" s="253">
        <f>I28*10</f>
        <v>6462998333.333334</v>
      </c>
      <c r="J37" s="249">
        <f t="shared" si="8"/>
        <v>-117657794.05333424</v>
      </c>
      <c r="K37" s="272">
        <f>J37/I40</f>
        <v>-1.5170692711681838E-2</v>
      </c>
    </row>
    <row r="38" spans="1:13" ht="14.1" customHeight="1" x14ac:dyDescent="0.2">
      <c r="A38" s="269" t="s">
        <v>17</v>
      </c>
      <c r="B38" s="270">
        <f>6018590.88+B37</f>
        <v>1415344315.5100002</v>
      </c>
      <c r="C38" s="253">
        <f>C28*11</f>
        <v>1496688416.6666667</v>
      </c>
      <c r="D38" s="249">
        <f t="shared" si="6"/>
        <v>-81344101.156666517</v>
      </c>
      <c r="E38" s="271">
        <f>399824897.2+26451215.74+E37</f>
        <v>3493197432.6299996</v>
      </c>
      <c r="F38" s="253">
        <f>F28*11</f>
        <v>3570463416.6666665</v>
      </c>
      <c r="G38" s="249">
        <f t="shared" si="7"/>
        <v>-77265984.03666687</v>
      </c>
      <c r="H38" s="255">
        <f t="shared" si="5"/>
        <v>6974474496.8099995</v>
      </c>
      <c r="I38" s="253">
        <f>I28*11</f>
        <v>7109298166.666667</v>
      </c>
      <c r="J38" s="249">
        <f t="shared" si="8"/>
        <v>-134823669.85666752</v>
      </c>
      <c r="K38" s="272">
        <f>J38/I40</f>
        <v>-1.738404567341777E-2</v>
      </c>
    </row>
    <row r="39" spans="1:13" ht="14.1" customHeight="1" thickBot="1" x14ac:dyDescent="0.25">
      <c r="A39" s="340" t="s">
        <v>18</v>
      </c>
      <c r="B39" s="335">
        <f>289657435.38+B38</f>
        <v>1705001750.8900003</v>
      </c>
      <c r="C39" s="332">
        <f>C28*12</f>
        <v>1632751000</v>
      </c>
      <c r="D39" s="410">
        <f t="shared" si="6"/>
        <v>72250750.890000343</v>
      </c>
      <c r="E39" s="271">
        <f>318015845.14+27365739.45+E38</f>
        <v>3838579017.2199998</v>
      </c>
      <c r="F39" s="332">
        <f>F28*12</f>
        <v>3895051000</v>
      </c>
      <c r="G39" s="249">
        <f t="shared" si="7"/>
        <v>-56471982.78000021</v>
      </c>
      <c r="H39" s="275">
        <f t="shared" si="5"/>
        <v>7846036640.2800007</v>
      </c>
      <c r="I39" s="338">
        <f>I28*12</f>
        <v>7755598000</v>
      </c>
      <c r="J39" s="411">
        <f t="shared" si="8"/>
        <v>90438640.280000687</v>
      </c>
      <c r="K39" s="272">
        <f>J39/I40</f>
        <v>1.1661078911000891E-2</v>
      </c>
    </row>
    <row r="40" spans="1:13" ht="15" customHeight="1" thickBot="1" x14ac:dyDescent="0.25">
      <c r="A40" s="257" t="s">
        <v>19</v>
      </c>
      <c r="B40" s="347">
        <f>B39</f>
        <v>1705001750.8900003</v>
      </c>
      <c r="C40" s="276">
        <v>1632751000</v>
      </c>
      <c r="D40" s="277"/>
      <c r="E40" s="345">
        <f>E39</f>
        <v>3838579017.2199998</v>
      </c>
      <c r="F40" s="258">
        <v>3895051000</v>
      </c>
      <c r="G40" s="278"/>
      <c r="H40" s="351">
        <f t="shared" si="5"/>
        <v>7846036640.2800007</v>
      </c>
      <c r="I40" s="279">
        <f>C20+F20+I20+L20+C40+F40</f>
        <v>7755598000</v>
      </c>
      <c r="J40" s="280"/>
      <c r="K40" s="350"/>
    </row>
    <row r="41" spans="1:13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3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4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J6:J7"/>
    <mergeCell ref="F6:F7"/>
    <mergeCell ref="G6:G7"/>
    <mergeCell ref="H6:H7"/>
    <mergeCell ref="I6:I7"/>
    <mergeCell ref="K26:K27"/>
    <mergeCell ref="A42:M42"/>
    <mergeCell ref="E26:E27"/>
    <mergeCell ref="F26:F27"/>
    <mergeCell ref="G26:G27"/>
    <mergeCell ref="H26:H27"/>
    <mergeCell ref="I26:I27"/>
    <mergeCell ref="J26:J27"/>
    <mergeCell ref="A24:A27"/>
    <mergeCell ref="B24:D25"/>
    <mergeCell ref="E24:G25"/>
    <mergeCell ref="H24:J25"/>
    <mergeCell ref="B26:B27"/>
    <mergeCell ref="C26:C27"/>
    <mergeCell ref="D26:D2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landscape" r:id="rId1"/>
  <headerFooter alignWithMargins="0"/>
  <ignoredErrors>
    <ignoredError sqref="H14" 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5" tint="-0.499984740745262"/>
    <pageSetUpPr fitToPage="1"/>
  </sheetPr>
  <dimension ref="A1:S72"/>
  <sheetViews>
    <sheetView showGridLines="0" zoomScale="130" zoomScaleNormal="130" zoomScaleSheetLayoutView="100" workbookViewId="0">
      <selection activeCell="D26" sqref="D26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8.5" x14ac:dyDescent="0.45">
      <c r="A1" s="57"/>
      <c r="B1" s="656" t="s">
        <v>113</v>
      </c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7"/>
      <c r="S1" s="657"/>
    </row>
    <row r="2" spans="1:19" ht="20.25" x14ac:dyDescent="0.3">
      <c r="B2" s="587" t="s">
        <v>121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92"/>
      <c r="P2" s="592"/>
      <c r="Q2" s="592"/>
      <c r="R2" s="592"/>
      <c r="S2" s="592"/>
    </row>
    <row r="3" spans="1:19" ht="12.75" customHeight="1" x14ac:dyDescent="0.25">
      <c r="A3" s="59"/>
    </row>
    <row r="4" spans="1:19" ht="12.75" customHeight="1" x14ac:dyDescent="0.2"/>
    <row r="39" spans="11:19" x14ac:dyDescent="0.2">
      <c r="K39" s="60"/>
    </row>
    <row r="40" spans="11:19" x14ac:dyDescent="0.2">
      <c r="K40" s="60"/>
    </row>
    <row r="45" spans="1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1:19" x14ac:dyDescent="0.2">
      <c r="L46" s="62"/>
      <c r="M46" s="62"/>
      <c r="N46" s="62"/>
      <c r="O46" s="62"/>
      <c r="P46" s="62"/>
      <c r="Q46" s="62"/>
      <c r="R46" s="62"/>
      <c r="S46" s="62"/>
    </row>
    <row r="47" spans="11:19" x14ac:dyDescent="0.2">
      <c r="L47" s="62"/>
      <c r="M47" s="62"/>
      <c r="N47" s="62"/>
      <c r="O47" s="62"/>
      <c r="P47" s="62"/>
      <c r="Q47" s="62"/>
      <c r="R47" s="62"/>
      <c r="S47" s="62"/>
    </row>
    <row r="48" spans="11:19" x14ac:dyDescent="0.2">
      <c r="K48" s="61" t="s">
        <v>35</v>
      </c>
      <c r="L48" s="62"/>
      <c r="M48" s="62"/>
      <c r="N48" s="62"/>
      <c r="O48" s="62"/>
      <c r="P48" s="62"/>
      <c r="Q48" s="62"/>
      <c r="R48" s="62"/>
      <c r="S48" s="62"/>
    </row>
    <row r="49" spans="1:19" ht="28.5" x14ac:dyDescent="0.45">
      <c r="A49" s="57"/>
      <c r="B49" s="656" t="s">
        <v>114</v>
      </c>
      <c r="C49" s="657"/>
      <c r="D49" s="657"/>
      <c r="E49" s="657"/>
      <c r="F49" s="657"/>
      <c r="G49" s="657"/>
      <c r="H49" s="657"/>
      <c r="I49" s="657"/>
      <c r="J49" s="657"/>
      <c r="K49" s="657"/>
      <c r="L49" s="657"/>
      <c r="M49" s="657"/>
      <c r="N49" s="657"/>
      <c r="O49" s="657"/>
      <c r="P49" s="657"/>
      <c r="Q49" s="657"/>
      <c r="R49" s="657"/>
      <c r="S49" s="657"/>
    </row>
    <row r="50" spans="1:19" ht="20.25" x14ac:dyDescent="0.3">
      <c r="B50" s="587" t="s">
        <v>121</v>
      </c>
      <c r="C50" s="586"/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92"/>
      <c r="P50" s="592"/>
      <c r="Q50" s="592"/>
      <c r="R50" s="592"/>
      <c r="S50" s="592"/>
    </row>
    <row r="51" spans="1:19" ht="12.75" customHeight="1" x14ac:dyDescent="0.2"/>
    <row r="72" spans="11:19" x14ac:dyDescent="0.2">
      <c r="K72" s="632"/>
      <c r="L72" s="633"/>
      <c r="M72" s="633"/>
      <c r="N72" s="633"/>
      <c r="O72" s="633"/>
      <c r="P72" s="633"/>
      <c r="Q72" s="633"/>
      <c r="R72" s="633"/>
      <c r="S72" s="633"/>
    </row>
  </sheetData>
  <mergeCells count="5">
    <mergeCell ref="B1:S1"/>
    <mergeCell ref="B2:S2"/>
    <mergeCell ref="B49:S49"/>
    <mergeCell ref="B50:S50"/>
    <mergeCell ref="K72:S72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7" fitToHeight="0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0000"/>
    <pageSetUpPr fitToPage="1"/>
  </sheetPr>
  <dimension ref="A1:N48"/>
  <sheetViews>
    <sheetView showGridLines="0" zoomScale="130" zoomScaleNormal="130" zoomScaleSheetLayoutView="130" workbookViewId="0">
      <selection activeCell="A42" activeCellId="1" sqref="E40 A42:M42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85" t="s">
        <v>122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20.25" x14ac:dyDescent="0.3">
      <c r="A2" s="638" t="s">
        <v>133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A3" s="212"/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67" t="s">
        <v>2</v>
      </c>
      <c r="B4" s="588" t="s">
        <v>95</v>
      </c>
      <c r="C4" s="640"/>
      <c r="D4" s="641"/>
      <c r="E4" s="647" t="s">
        <v>94</v>
      </c>
      <c r="F4" s="640"/>
      <c r="G4" s="641"/>
      <c r="H4" s="591" t="s">
        <v>93</v>
      </c>
      <c r="I4" s="640"/>
      <c r="J4" s="641"/>
      <c r="K4" s="570" t="s">
        <v>92</v>
      </c>
      <c r="L4" s="640"/>
      <c r="M4" s="641"/>
      <c r="N4" s="73"/>
    </row>
    <row r="5" spans="1:14" ht="13.5" customHeight="1" thickBot="1" x14ac:dyDescent="0.25">
      <c r="A5" s="645"/>
      <c r="B5" s="642"/>
      <c r="C5" s="643"/>
      <c r="D5" s="644"/>
      <c r="E5" s="642"/>
      <c r="F5" s="643"/>
      <c r="G5" s="644"/>
      <c r="H5" s="642"/>
      <c r="I5" s="643"/>
      <c r="J5" s="644"/>
      <c r="K5" s="642"/>
      <c r="L5" s="643"/>
      <c r="M5" s="644"/>
      <c r="N5" s="71"/>
    </row>
    <row r="6" spans="1:14" ht="13.5" customHeight="1" x14ac:dyDescent="0.2">
      <c r="A6" s="645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84" t="s">
        <v>6</v>
      </c>
      <c r="I6" s="557" t="s">
        <v>31</v>
      </c>
      <c r="J6" s="559" t="s">
        <v>32</v>
      </c>
      <c r="K6" s="584" t="s">
        <v>23</v>
      </c>
      <c r="L6" s="557" t="s">
        <v>31</v>
      </c>
      <c r="M6" s="559" t="s">
        <v>32</v>
      </c>
    </row>
    <row r="7" spans="1:14" ht="13.5" customHeight="1" thickBot="1" x14ac:dyDescent="0.25">
      <c r="A7" s="646"/>
      <c r="B7" s="636"/>
      <c r="C7" s="635"/>
      <c r="D7" s="634"/>
      <c r="E7" s="636"/>
      <c r="F7" s="635"/>
      <c r="G7" s="634"/>
      <c r="H7" s="636"/>
      <c r="I7" s="635"/>
      <c r="J7" s="634"/>
      <c r="K7" s="636"/>
      <c r="L7" s="635"/>
      <c r="M7" s="634"/>
    </row>
    <row r="8" spans="1:14" ht="15" customHeight="1" x14ac:dyDescent="0.2">
      <c r="A8" s="245" t="s">
        <v>7</v>
      </c>
      <c r="B8" s="247">
        <f>69734555.11+113302944.22</f>
        <v>183037499.32999998</v>
      </c>
      <c r="C8" s="248">
        <f>C20/12</f>
        <v>148684250</v>
      </c>
      <c r="D8" s="249">
        <f>B8-C8</f>
        <v>34353249.329999983</v>
      </c>
      <c r="E8" s="250">
        <f>4759785.02+7733578.5</f>
        <v>12493363.52</v>
      </c>
      <c r="F8" s="248">
        <f>F20/12</f>
        <v>10149083.333333334</v>
      </c>
      <c r="G8" s="249">
        <f>E8-F8</f>
        <v>2344280.1866666656</v>
      </c>
      <c r="H8" s="250">
        <f>2693640.33+826716.63</f>
        <v>3520356.96</v>
      </c>
      <c r="I8" s="248">
        <f>I20/12</f>
        <v>3811500</v>
      </c>
      <c r="J8" s="251">
        <f>H8-I8</f>
        <v>-291143.04000000004</v>
      </c>
      <c r="K8" s="250">
        <f>8448986.63+6146806.78</f>
        <v>14595793.41</v>
      </c>
      <c r="L8" s="248">
        <f>L20/12</f>
        <v>15594750</v>
      </c>
      <c r="M8" s="251">
        <f>K8-L8</f>
        <v>-998956.58999999985</v>
      </c>
    </row>
    <row r="9" spans="1:14" ht="15" customHeight="1" x14ac:dyDescent="0.2">
      <c r="A9" s="246" t="s">
        <v>8</v>
      </c>
      <c r="B9" s="252">
        <f>71009985.6+98205466.92</f>
        <v>169215452.51999998</v>
      </c>
      <c r="C9" s="253">
        <f>C8*2</f>
        <v>297368500</v>
      </c>
      <c r="D9" s="249">
        <f>SUM(B8+B9)-C9</f>
        <v>54884451.849999964</v>
      </c>
      <c r="E9" s="247">
        <f>4846840.53+6703088.79</f>
        <v>11549929.32</v>
      </c>
      <c r="F9" s="253">
        <f>F8*2</f>
        <v>20298166.666666668</v>
      </c>
      <c r="G9" s="249">
        <f>SUM(E8+E9)-F9</f>
        <v>3745126.1733333319</v>
      </c>
      <c r="H9" s="247">
        <f>1125970.31+1304679.01</f>
        <v>2430649.3200000003</v>
      </c>
      <c r="I9" s="253">
        <f>I8*2</f>
        <v>7623000</v>
      </c>
      <c r="J9" s="249">
        <f>SUM(H8+H9)-I9</f>
        <v>-1671993.7199999997</v>
      </c>
      <c r="K9" s="252">
        <f>12097721.18+5036161.68</f>
        <v>17133882.859999999</v>
      </c>
      <c r="L9" s="253">
        <f>L8*2</f>
        <v>31189500</v>
      </c>
      <c r="M9" s="249">
        <f>SUM(K8+K9)-L9</f>
        <v>540176.26999999955</v>
      </c>
    </row>
    <row r="10" spans="1:14" ht="15" customHeight="1" x14ac:dyDescent="0.2">
      <c r="A10" s="246" t="s">
        <v>9</v>
      </c>
      <c r="B10" s="252">
        <f>67545867.14+88238616.3</f>
        <v>155784483.44</v>
      </c>
      <c r="C10" s="253">
        <f>C8*3</f>
        <v>446052750</v>
      </c>
      <c r="D10" s="249">
        <f>SUM(B8+B9+B10)-C10</f>
        <v>61984685.289999962</v>
      </c>
      <c r="E10" s="247">
        <f>4610394.46+6022793.84</f>
        <v>10633188.300000001</v>
      </c>
      <c r="F10" s="254">
        <f>F8*3</f>
        <v>30447250</v>
      </c>
      <c r="G10" s="249">
        <f>SUM(E8+E9+E10)-F10</f>
        <v>4229231.1400000006</v>
      </c>
      <c r="H10" s="247">
        <f>2600098.32+4687130.64</f>
        <v>7287228.959999999</v>
      </c>
      <c r="I10" s="254">
        <f>I8*3</f>
        <v>11434500</v>
      </c>
      <c r="J10" s="249">
        <f>SUM(H8+H9+H10)-I10</f>
        <v>1803735.2399999984</v>
      </c>
      <c r="K10" s="252">
        <f>6045541.62+5760312.61</f>
        <v>11805854.23</v>
      </c>
      <c r="L10" s="254">
        <f>L8*3</f>
        <v>46784250</v>
      </c>
      <c r="M10" s="249">
        <f>SUM(K8+K9+K10)-L10</f>
        <v>-3248719.5</v>
      </c>
    </row>
    <row r="11" spans="1:14" ht="15" customHeight="1" x14ac:dyDescent="0.2">
      <c r="A11" s="246" t="s">
        <v>10</v>
      </c>
      <c r="B11" s="252">
        <f>50647804.01+78452173.52</f>
        <v>129099977.53</v>
      </c>
      <c r="C11" s="253">
        <f>C8*4</f>
        <v>594737000</v>
      </c>
      <c r="D11" s="249">
        <f>SUM(B8+B9+B10+B11)-C11</f>
        <v>42400412.819999933</v>
      </c>
      <c r="E11" s="247">
        <f>3457004.32+5354812.74</f>
        <v>8811817.0600000005</v>
      </c>
      <c r="F11" s="253">
        <f>F8*4</f>
        <v>40596333.333333336</v>
      </c>
      <c r="G11" s="249">
        <f>SUM(E8+E9+E10+E11)-F11</f>
        <v>2891964.8666666672</v>
      </c>
      <c r="H11" s="247">
        <v>0</v>
      </c>
      <c r="I11" s="253">
        <f>I8*4</f>
        <v>15246000</v>
      </c>
      <c r="J11" s="249">
        <f>SUM(H8+H9+H10+H11)-I11</f>
        <v>-2007764.7600000016</v>
      </c>
      <c r="K11" s="252">
        <f>6169055.69+5186277.16</f>
        <v>11355332.850000001</v>
      </c>
      <c r="L11" s="253">
        <f>L8*4</f>
        <v>62379000</v>
      </c>
      <c r="M11" s="249">
        <f>SUM(K8+K9+K10+K11)-L11</f>
        <v>-7488136.6499999985</v>
      </c>
    </row>
    <row r="12" spans="1:14" ht="15" customHeight="1" x14ac:dyDescent="0.2">
      <c r="A12" s="246" t="s">
        <v>11</v>
      </c>
      <c r="B12" s="252">
        <f>32351760.94</f>
        <v>32351760.940000001</v>
      </c>
      <c r="C12" s="253">
        <f>C8*5</f>
        <v>743421250</v>
      </c>
      <c r="D12" s="249">
        <f>SUM(B8+B9+B10+B11+B12)-C12</f>
        <v>-73932076.24000001</v>
      </c>
      <c r="E12" s="247">
        <f>2208194.03</f>
        <v>2208194.0299999998</v>
      </c>
      <c r="F12" s="253">
        <f>F8*5</f>
        <v>50745416.666666672</v>
      </c>
      <c r="G12" s="249">
        <f>SUM(E8+E9+E10+E11+E12)-F12</f>
        <v>-5048924.4366666675</v>
      </c>
      <c r="H12" s="247">
        <v>0</v>
      </c>
      <c r="I12" s="253">
        <f>I8*5</f>
        <v>19057500</v>
      </c>
      <c r="J12" s="249">
        <f>SUM(H8+H9+H10+H11+H12)-I12</f>
        <v>-5819264.7600000016</v>
      </c>
      <c r="K12" s="252">
        <f>7478104.68+5201660.73</f>
        <v>12679765.41</v>
      </c>
      <c r="L12" s="253">
        <f>L8*5</f>
        <v>77973750</v>
      </c>
      <c r="M12" s="249">
        <f>SUM(K8+K9+K10+K11+K12)-L12</f>
        <v>-10403121.239999995</v>
      </c>
    </row>
    <row r="13" spans="1:14" ht="15" customHeight="1" x14ac:dyDescent="0.2">
      <c r="A13" s="246" t="s">
        <v>12</v>
      </c>
      <c r="B13" s="252">
        <f>33812639.88+77495839.22</f>
        <v>111308479.09999999</v>
      </c>
      <c r="C13" s="253">
        <f>C8*6</f>
        <v>892105500</v>
      </c>
      <c r="D13" s="249">
        <f>SUM(B8+B9+B10+B11+B12+B13)-C13</f>
        <v>-111307847.13999999</v>
      </c>
      <c r="E13" s="247">
        <f>2307907.43+5289537.39</f>
        <v>7597444.8200000003</v>
      </c>
      <c r="F13" s="253">
        <f>F8*6</f>
        <v>60894500</v>
      </c>
      <c r="G13" s="249">
        <f>SUM(E8+E9+E10+E11+E12+E13)-F13</f>
        <v>-7600562.9499999955</v>
      </c>
      <c r="H13" s="247">
        <v>0</v>
      </c>
      <c r="I13" s="253">
        <f>I8*6</f>
        <v>22869000</v>
      </c>
      <c r="J13" s="249">
        <f>SUM(H8+H9+H10+H11+H12+H13)-I13</f>
        <v>-9630764.7600000016</v>
      </c>
      <c r="K13" s="252">
        <f>7408719.64+7159860.77</f>
        <v>14568580.41</v>
      </c>
      <c r="L13" s="253">
        <f>L8*6</f>
        <v>93568500</v>
      </c>
      <c r="M13" s="249">
        <f>SUM(K8+K9+K10+K11+K12+K13)-L13</f>
        <v>-11429290.829999998</v>
      </c>
    </row>
    <row r="14" spans="1:14" ht="15" customHeight="1" x14ac:dyDescent="0.2">
      <c r="A14" s="246" t="s">
        <v>13</v>
      </c>
      <c r="B14" s="252">
        <f>57142149.96+105911996.76</f>
        <v>163054146.72</v>
      </c>
      <c r="C14" s="253">
        <f>C8*7</f>
        <v>1040789750</v>
      </c>
      <c r="D14" s="249">
        <f>SUM(B8+B9+B10+B11+B12+B13+B14)-C14</f>
        <v>-96937950.419999957</v>
      </c>
      <c r="E14" s="247">
        <f>3900280.88+7229103.81</f>
        <v>11129384.689999999</v>
      </c>
      <c r="F14" s="253">
        <f>F8*7</f>
        <v>71043583.333333343</v>
      </c>
      <c r="G14" s="249">
        <f>SUM(E8+E9+E10+E11+E12+E13+E14)-F14</f>
        <v>-6620261.5933333412</v>
      </c>
      <c r="H14" s="247">
        <v>0</v>
      </c>
      <c r="I14" s="253">
        <f>I8*7</f>
        <v>26680500</v>
      </c>
      <c r="J14" s="249">
        <f>SUM(H8+H9+H10+H11+H12+H13+H14)-I14</f>
        <v>-13442264.760000002</v>
      </c>
      <c r="K14" s="252">
        <f>9453571.24+7664284.76</f>
        <v>17117856</v>
      </c>
      <c r="L14" s="253">
        <f>L8*7</f>
        <v>109163250</v>
      </c>
      <c r="M14" s="249">
        <f>SUM(K8+K9+K10+K11+K12+K13+K14)-L14</f>
        <v>-9906184.8299999982</v>
      </c>
    </row>
    <row r="15" spans="1:14" ht="15" customHeight="1" x14ac:dyDescent="0.2">
      <c r="A15" s="246" t="s">
        <v>14</v>
      </c>
      <c r="B15" s="252">
        <f>62657901.71+106392362.74</f>
        <v>169050264.44999999</v>
      </c>
      <c r="C15" s="253">
        <f>C8*8</f>
        <v>1189474000</v>
      </c>
      <c r="D15" s="249">
        <f>SUM(B8+B9+B10+B11+B12+B13+B14+B15)-C15</f>
        <v>-76571935.970000029</v>
      </c>
      <c r="E15" s="247">
        <f>4276762.7+7261891.58</f>
        <v>11538654.280000001</v>
      </c>
      <c r="F15" s="253">
        <f>F8*8</f>
        <v>81192666.666666672</v>
      </c>
      <c r="G15" s="249">
        <f>SUM(E8+E9+E10+E11+E12+E13+E14+E15)-F15</f>
        <v>-5230690.6466666609</v>
      </c>
      <c r="H15" s="247">
        <v>0</v>
      </c>
      <c r="I15" s="253">
        <f>I8*8</f>
        <v>30492000</v>
      </c>
      <c r="J15" s="249">
        <f>SUM(H8+H9+H10+H11+H12+H13+H14+H15)-I15</f>
        <v>-17253764.760000002</v>
      </c>
      <c r="K15" s="252">
        <f>11289826.34+5843271.71</f>
        <v>17133098.050000001</v>
      </c>
      <c r="L15" s="253">
        <f>L8*8</f>
        <v>124758000</v>
      </c>
      <c r="M15" s="249">
        <f>SUM(K8+K9+K10+K11+K12+K13+K14+K15)-L15</f>
        <v>-8367836.7800000012</v>
      </c>
    </row>
    <row r="16" spans="1:14" ht="15" customHeight="1" x14ac:dyDescent="0.2">
      <c r="A16" s="246" t="s">
        <v>15</v>
      </c>
      <c r="B16" s="252">
        <f>69874432.7+91357133.03</f>
        <v>161231565.73000002</v>
      </c>
      <c r="C16" s="253">
        <f>C8*9</f>
        <v>1338158250</v>
      </c>
      <c r="D16" s="249">
        <f>SUM(B8+B9+B10+B11+B12+B13+B14+B15+B16)-C16</f>
        <v>-64024620.24000001</v>
      </c>
      <c r="E16" s="247">
        <f>4769332.49+6543268.05</f>
        <v>11312600.539999999</v>
      </c>
      <c r="F16" s="253">
        <f>F8*9</f>
        <v>91341750</v>
      </c>
      <c r="G16" s="249">
        <f>SUM(E8+E9+E10+E11+E12+E13+E14+E15+E16)-F16</f>
        <v>-4067173.4399999976</v>
      </c>
      <c r="H16" s="247">
        <v>0</v>
      </c>
      <c r="I16" s="253">
        <f>I8*9</f>
        <v>34303500</v>
      </c>
      <c r="J16" s="249">
        <f>SUM(H8+H9+H10+H11+H12+H13+H14+H15+H16)-I16</f>
        <v>-21065264.760000002</v>
      </c>
      <c r="K16" s="252">
        <f>13914712.99+5458824.74</f>
        <v>19373537.73</v>
      </c>
      <c r="L16" s="253">
        <f>L8*9</f>
        <v>140352750</v>
      </c>
      <c r="M16" s="249">
        <f>SUM(K8+K9+K10+K11+K12+K13+K14+K15+K16)-L16</f>
        <v>-4589049.0500000119</v>
      </c>
    </row>
    <row r="17" spans="1:13" ht="15" customHeight="1" x14ac:dyDescent="0.2">
      <c r="A17" s="246" t="s">
        <v>16</v>
      </c>
      <c r="B17" s="252">
        <f>63941599.45+107700401.69</f>
        <v>171642001.13999999</v>
      </c>
      <c r="C17" s="253">
        <f>C8*10</f>
        <v>1486842500</v>
      </c>
      <c r="D17" s="249">
        <f>SUM(B8+B9+B10+B11+B12+B13+B14+B15+B16+B17)-C17</f>
        <v>-41066869.099999905</v>
      </c>
      <c r="E17" s="247">
        <f>4380713.86+7378680.7</f>
        <v>11759394.560000001</v>
      </c>
      <c r="F17" s="253">
        <f>F8*10</f>
        <v>101490833.33333334</v>
      </c>
      <c r="G17" s="249">
        <f>SUM(E8+E9+E10+E11+E12+E13+E14+E15+E16+E17)-F17</f>
        <v>-2456862.2133333385</v>
      </c>
      <c r="H17" s="247">
        <f>698800.09+727752.46</f>
        <v>1426552.5499999998</v>
      </c>
      <c r="I17" s="253">
        <f>I8*10</f>
        <v>38115000</v>
      </c>
      <c r="J17" s="249">
        <f>SUM(H8+H9+H10+H11+H12+H13+H14+H15+H16+H17)-I17</f>
        <v>-23450212.210000001</v>
      </c>
      <c r="K17" s="252">
        <f>10097581.2+6741402.5</f>
        <v>16838983.699999999</v>
      </c>
      <c r="L17" s="253">
        <f>L8*10</f>
        <v>155947500</v>
      </c>
      <c r="M17" s="249">
        <f>SUM(K8+K9+K10+K11+K12+K13+K14+K15+K16+K17)-L17</f>
        <v>-3344815.3500000238</v>
      </c>
    </row>
    <row r="18" spans="1:13" ht="15" customHeight="1" x14ac:dyDescent="0.2">
      <c r="A18" s="246" t="s">
        <v>17</v>
      </c>
      <c r="B18" s="252">
        <f>62181201.21+107350839.32</f>
        <v>169532040.53</v>
      </c>
      <c r="C18" s="253">
        <f>C8*11</f>
        <v>1635526750</v>
      </c>
      <c r="D18" s="249">
        <f>SUM(B8+B9+B10+B11+B12+B13+B14+B15+B16+B17+B18)-C18</f>
        <v>-20219078.569999933</v>
      </c>
      <c r="E18" s="247">
        <f>4260106.97+7354731.75</f>
        <v>11614838.719999999</v>
      </c>
      <c r="F18" s="253">
        <f>F8*11</f>
        <v>111639916.66666667</v>
      </c>
      <c r="G18" s="249">
        <f>SUM(E8+E9+E10+E11+E12+E13+E14+E15+E16+E17+E18)-F18</f>
        <v>-991106.82666666806</v>
      </c>
      <c r="H18" s="247">
        <f>922008.44+533404.88</f>
        <v>1455413.3199999998</v>
      </c>
      <c r="I18" s="253">
        <f>I8*11</f>
        <v>41926500</v>
      </c>
      <c r="J18" s="249">
        <f>SUM(H8+H9+H10+H11+H12+H13+H14+H15+H16+H17+H18)-I18</f>
        <v>-25806298.890000001</v>
      </c>
      <c r="K18" s="252">
        <f>10032836.09+5811252.86</f>
        <v>15844088.949999999</v>
      </c>
      <c r="L18" s="253">
        <f>L8*11</f>
        <v>171542250</v>
      </c>
      <c r="M18" s="249">
        <f>SUM(K8+K9+K10+K11+K12+K13+K14+K15+K16+K17+K18)-L18</f>
        <v>-3095476.4000000358</v>
      </c>
    </row>
    <row r="19" spans="1:13" ht="15" customHeight="1" thickBot="1" x14ac:dyDescent="0.25">
      <c r="A19" s="339" t="s">
        <v>18</v>
      </c>
      <c r="B19" s="331">
        <f>70519568.48+127366803.79</f>
        <v>197886372.27000001</v>
      </c>
      <c r="C19" s="332">
        <f>C8*12</f>
        <v>1784211000</v>
      </c>
      <c r="D19" s="249">
        <f>SUM(B8+B9+B10+B11+B12+B13+B14+B15+B16+B17+B18+B19)-C19</f>
        <v>28983043.700000048</v>
      </c>
      <c r="E19" s="333">
        <f>4831378.23+8726048.96</f>
        <v>13557427.190000001</v>
      </c>
      <c r="F19" s="332">
        <f>F8*12</f>
        <v>121789000</v>
      </c>
      <c r="G19" s="249">
        <f>SUM(E8+E9+E10+E11+E12+E13+E14+E15+E16+E17+E18+E19)-F19</f>
        <v>2417237.0300000012</v>
      </c>
      <c r="H19" s="333">
        <f>760309.44+13223944.74</f>
        <v>13984254.18</v>
      </c>
      <c r="I19" s="332">
        <f>I8*12</f>
        <v>45738000</v>
      </c>
      <c r="J19" s="249">
        <f>SUM(H8+H9+H10+H11+H12+H13+H14+H15+H16+H17+H18+H19)-I19</f>
        <v>-15633544.710000001</v>
      </c>
      <c r="K19" s="334">
        <f>7419000.97+7771227.61</f>
        <v>15190228.58</v>
      </c>
      <c r="L19" s="332">
        <f>L8*12</f>
        <v>187137000</v>
      </c>
      <c r="M19" s="249">
        <f>SUM(K8+K9+K10+K11+K12+K13+K14+K15+K16+K17+K18+K19)-L19</f>
        <v>-3499997.8200000226</v>
      </c>
    </row>
    <row r="20" spans="1:13" ht="15" customHeight="1" thickBot="1" x14ac:dyDescent="0.25">
      <c r="A20" s="257" t="s">
        <v>19</v>
      </c>
      <c r="B20" s="345">
        <f>SUM(B8:B19)</f>
        <v>1813194043.7</v>
      </c>
      <c r="C20" s="258">
        <f>2046320000-262109000</f>
        <v>1784211000</v>
      </c>
      <c r="D20" s="259"/>
      <c r="E20" s="345">
        <f>SUM(E8:E19)</f>
        <v>124206237.03</v>
      </c>
      <c r="F20" s="258">
        <f>139680000-17891000</f>
        <v>121789000</v>
      </c>
      <c r="G20" s="260"/>
      <c r="H20" s="345">
        <f>SUM(H8:H19)</f>
        <v>30104455.289999999</v>
      </c>
      <c r="I20" s="258">
        <v>45738000</v>
      </c>
      <c r="J20" s="260"/>
      <c r="K20" s="345">
        <f>SUM(K8:K19)</f>
        <v>183637002.17999998</v>
      </c>
      <c r="L20" s="258">
        <v>187137000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3.5" customHeight="1" x14ac:dyDescent="0.2">
      <c r="A24" s="567" t="s">
        <v>2</v>
      </c>
      <c r="B24" s="576" t="s">
        <v>20</v>
      </c>
      <c r="C24" s="648"/>
      <c r="D24" s="649"/>
      <c r="E24" s="582" t="s">
        <v>21</v>
      </c>
      <c r="F24" s="648"/>
      <c r="G24" s="649"/>
      <c r="H24" s="583" t="s">
        <v>22</v>
      </c>
      <c r="I24" s="648"/>
      <c r="J24" s="649"/>
      <c r="K24" s="370"/>
    </row>
    <row r="25" spans="1:13" ht="13.5" customHeight="1" thickBot="1" x14ac:dyDescent="0.25">
      <c r="A25" s="596"/>
      <c r="B25" s="650"/>
      <c r="C25" s="651"/>
      <c r="D25" s="652"/>
      <c r="E25" s="650"/>
      <c r="F25" s="651"/>
      <c r="G25" s="652"/>
      <c r="H25" s="650"/>
      <c r="I25" s="651"/>
      <c r="J25" s="652"/>
      <c r="K25" s="370"/>
    </row>
    <row r="26" spans="1:13" ht="13.5" customHeight="1" x14ac:dyDescent="0.2">
      <c r="A26" s="596"/>
      <c r="B26" s="563" t="s">
        <v>24</v>
      </c>
      <c r="C26" s="557" t="s">
        <v>31</v>
      </c>
      <c r="D26" s="559" t="s">
        <v>32</v>
      </c>
      <c r="E26" s="563" t="s">
        <v>25</v>
      </c>
      <c r="F26" s="557" t="s">
        <v>31</v>
      </c>
      <c r="G26" s="559" t="s">
        <v>32</v>
      </c>
      <c r="H26" s="566" t="s">
        <v>19</v>
      </c>
      <c r="I26" s="557" t="s">
        <v>31</v>
      </c>
      <c r="J26" s="559" t="s">
        <v>32</v>
      </c>
      <c r="K26" s="553" t="s">
        <v>116</v>
      </c>
    </row>
    <row r="27" spans="1:13" ht="13.5" customHeight="1" thickBot="1" x14ac:dyDescent="0.25">
      <c r="A27" s="597"/>
      <c r="B27" s="655"/>
      <c r="C27" s="635"/>
      <c r="D27" s="634"/>
      <c r="E27" s="655"/>
      <c r="F27" s="654"/>
      <c r="G27" s="634"/>
      <c r="H27" s="636"/>
      <c r="I27" s="635"/>
      <c r="J27" s="634"/>
      <c r="K27" s="653"/>
    </row>
    <row r="28" spans="1:13" ht="15" customHeight="1" x14ac:dyDescent="0.2">
      <c r="A28" s="261" t="s">
        <v>7</v>
      </c>
      <c r="B28" s="262">
        <f>31294512.65+5014675.7</f>
        <v>36309188.350000001</v>
      </c>
      <c r="C28" s="248">
        <f>C40/12</f>
        <v>104276916.66666667</v>
      </c>
      <c r="D28" s="251">
        <f>B28-C28</f>
        <v>-67967728.316666663</v>
      </c>
      <c r="E28" s="263">
        <f>313068784.62+28058784.76</f>
        <v>341127569.38</v>
      </c>
      <c r="F28" s="264">
        <f>F40/12</f>
        <v>312884250</v>
      </c>
      <c r="G28" s="265">
        <f>E28-F28</f>
        <v>28243319.379999995</v>
      </c>
      <c r="H28" s="266">
        <f t="shared" ref="H28:H39" si="0">$B8+$E8+$H8+$K8+$B28+$E28</f>
        <v>591083770.95000005</v>
      </c>
      <c r="I28" s="264">
        <f>I40/12</f>
        <v>595400750</v>
      </c>
      <c r="J28" s="267">
        <f>H28-I28</f>
        <v>-4316979.0499999523</v>
      </c>
      <c r="K28" s="268">
        <f>J28/I40</f>
        <v>-6.0421196003979289E-4</v>
      </c>
    </row>
    <row r="29" spans="1:13" ht="15" customHeight="1" x14ac:dyDescent="0.2">
      <c r="A29" s="269" t="s">
        <v>8</v>
      </c>
      <c r="B29" s="270">
        <f>8680722.5+5840522.58</f>
        <v>14521245.08</v>
      </c>
      <c r="C29" s="253">
        <f>C28*2</f>
        <v>208553833.33333334</v>
      </c>
      <c r="D29" s="249">
        <f>SUM(B28+B29)-C29</f>
        <v>-157723399.90333334</v>
      </c>
      <c r="E29" s="271">
        <f>395095018.54+25119327.78</f>
        <v>420214346.32000005</v>
      </c>
      <c r="F29" s="254">
        <f>F28*2</f>
        <v>625768500</v>
      </c>
      <c r="G29" s="249">
        <f>SUM(E28+E29)-F29</f>
        <v>135573415.70000005</v>
      </c>
      <c r="H29" s="256">
        <f t="shared" si="0"/>
        <v>635065505.42000008</v>
      </c>
      <c r="I29" s="254">
        <f>I28*2</f>
        <v>1190801500</v>
      </c>
      <c r="J29" s="249">
        <f>SUM(H28+H29)-I29</f>
        <v>35347776.370000124</v>
      </c>
      <c r="K29" s="272">
        <f>J29/I40</f>
        <v>4.9473367825508176E-3</v>
      </c>
    </row>
    <row r="30" spans="1:13" ht="15" customHeight="1" x14ac:dyDescent="0.2">
      <c r="A30" s="269" t="s">
        <v>9</v>
      </c>
      <c r="B30" s="273">
        <f>6952715.59+296907676.83</f>
        <v>303860392.41999996</v>
      </c>
      <c r="C30" s="254">
        <f>C28*3</f>
        <v>312830750</v>
      </c>
      <c r="D30" s="249">
        <f>SUM(B28+B29+B30)-C30</f>
        <v>41860075.849999964</v>
      </c>
      <c r="E30" s="271">
        <f>196349973.08+22472520.65</f>
        <v>218822493.73000002</v>
      </c>
      <c r="F30" s="254">
        <f>F28*3</f>
        <v>938652750</v>
      </c>
      <c r="G30" s="249">
        <f>SUM(E28+E29+E30)-F30</f>
        <v>41511659.430000067</v>
      </c>
      <c r="H30" s="255">
        <f t="shared" si="0"/>
        <v>708193641.07999992</v>
      </c>
      <c r="I30" s="254">
        <f>I28*3</f>
        <v>1786202250</v>
      </c>
      <c r="J30" s="249">
        <f>SUM(H28+H29+H30)-I30</f>
        <v>148140667.45000005</v>
      </c>
      <c r="K30" s="272">
        <f>J30/I40</f>
        <v>2.0734027662600924E-2</v>
      </c>
    </row>
    <row r="31" spans="1:13" ht="15" customHeight="1" x14ac:dyDescent="0.2">
      <c r="A31" s="269" t="s">
        <v>10</v>
      </c>
      <c r="B31" s="270">
        <f>45810824.07+6929842.1</f>
        <v>52740666.170000002</v>
      </c>
      <c r="C31" s="253">
        <f>C28*4</f>
        <v>417107666.66666669</v>
      </c>
      <c r="D31" s="249">
        <f>SUM(B28+B29+B30+B31)-C31</f>
        <v>-9676174.6466667056</v>
      </c>
      <c r="E31" s="274">
        <f>205989674.82+13040269.53</f>
        <v>219029944.34999999</v>
      </c>
      <c r="F31" s="253">
        <f>F28*4</f>
        <v>1251537000</v>
      </c>
      <c r="G31" s="249">
        <f>SUM(E28+E29+E30+E31)-F31</f>
        <v>-52342646.220000029</v>
      </c>
      <c r="H31" s="255">
        <f t="shared" si="0"/>
        <v>421037737.96000004</v>
      </c>
      <c r="I31" s="253">
        <f>I28*4</f>
        <v>2381603000</v>
      </c>
      <c r="J31" s="249">
        <f>SUM(H28+H29+H30+H31)-I31</f>
        <v>-26222344.590000153</v>
      </c>
      <c r="K31" s="272">
        <f>J31/I40</f>
        <v>-3.6701253441484795E-3</v>
      </c>
    </row>
    <row r="32" spans="1:13" ht="15" customHeight="1" x14ac:dyDescent="0.2">
      <c r="A32" s="269" t="s">
        <v>11</v>
      </c>
      <c r="B32" s="273">
        <v>0</v>
      </c>
      <c r="C32" s="253">
        <f>C28*5</f>
        <v>521384583.33333337</v>
      </c>
      <c r="D32" s="249">
        <f>SUM(B28+B29+B30+B31+B32)-C32</f>
        <v>-113953091.31333339</v>
      </c>
      <c r="E32" s="274">
        <f>301192642.68+14418295.09</f>
        <v>315610937.76999998</v>
      </c>
      <c r="F32" s="253">
        <f>F28*5</f>
        <v>1564421250</v>
      </c>
      <c r="G32" s="249">
        <f>SUM(E28+E29+E30+E31+E32)-F32</f>
        <v>-49615958.450000048</v>
      </c>
      <c r="H32" s="255">
        <f t="shared" si="0"/>
        <v>362850658.14999998</v>
      </c>
      <c r="I32" s="253">
        <f>I28*5</f>
        <v>2977003750</v>
      </c>
      <c r="J32" s="249">
        <f>SUM(H28+H29+H30+H31+H32)-I32</f>
        <v>-258772436.44000006</v>
      </c>
      <c r="K32" s="272">
        <f>J32/I40</f>
        <v>-3.6218244104216091E-2</v>
      </c>
    </row>
    <row r="33" spans="1:13" ht="15" customHeight="1" x14ac:dyDescent="0.2">
      <c r="A33" s="269" t="s">
        <v>12</v>
      </c>
      <c r="B33" s="270">
        <f>127269360.92</f>
        <v>127269360.92</v>
      </c>
      <c r="C33" s="253">
        <f>C28*6</f>
        <v>625661500</v>
      </c>
      <c r="D33" s="249">
        <f>SUM(B28+B29+B30+B31+B32+B33)-C33</f>
        <v>-90960647.060000002</v>
      </c>
      <c r="E33" s="274">
        <f>191180105.33+16103883.71</f>
        <v>207283989.04000002</v>
      </c>
      <c r="F33" s="253">
        <f>F28*6</f>
        <v>1877305500</v>
      </c>
      <c r="G33" s="249">
        <f>SUM(E28+E29+E30+E31+E32+E33)-F33</f>
        <v>-155216219.41000009</v>
      </c>
      <c r="H33" s="255">
        <f t="shared" si="0"/>
        <v>468027854.29000002</v>
      </c>
      <c r="I33" s="253">
        <f>I28*6</f>
        <v>3572404500</v>
      </c>
      <c r="J33" s="249">
        <f>SUM(H28+H29+H30+H31+H32+H33)-I33</f>
        <v>-386145332.1500001</v>
      </c>
      <c r="K33" s="272">
        <f>J33/I40</f>
        <v>-5.4045578006353998E-2</v>
      </c>
    </row>
    <row r="34" spans="1:13" ht="15" customHeight="1" x14ac:dyDescent="0.2">
      <c r="A34" s="269" t="s">
        <v>13</v>
      </c>
      <c r="B34" s="273">
        <f>160847332.64+72528052.07</f>
        <v>233375384.70999998</v>
      </c>
      <c r="C34" s="253">
        <f>C28*7</f>
        <v>729938416.66666675</v>
      </c>
      <c r="D34" s="249">
        <f>SUM(B28+B29+B30+B31+B32+B33+B34)-C34</f>
        <v>38137820.98333323</v>
      </c>
      <c r="E34" s="274">
        <f>269500803.33+26944160.71</f>
        <v>296444964.03999996</v>
      </c>
      <c r="F34" s="253">
        <f>F28*7</f>
        <v>2190189750</v>
      </c>
      <c r="G34" s="249">
        <f>SUM(E28+E29+E30+E31+E32+E33+E34)-F34</f>
        <v>-171655505.37000012</v>
      </c>
      <c r="H34" s="255">
        <f t="shared" si="0"/>
        <v>721121736.15999997</v>
      </c>
      <c r="I34" s="253">
        <f>I28*7</f>
        <v>4167805250</v>
      </c>
      <c r="J34" s="249">
        <f>SUM(H28+H29+H30+H31+H32+H33+H34)-I34</f>
        <v>-260424345.99000025</v>
      </c>
      <c r="K34" s="272">
        <f>J34/I40</f>
        <v>-3.6449448262367859E-2</v>
      </c>
    </row>
    <row r="35" spans="1:13" ht="15" customHeight="1" x14ac:dyDescent="0.2">
      <c r="A35" s="269" t="s">
        <v>14</v>
      </c>
      <c r="B35" s="270">
        <v>0</v>
      </c>
      <c r="C35" s="253">
        <f>C28*8</f>
        <v>834215333.33333337</v>
      </c>
      <c r="D35" s="249">
        <f>SUM(B28+B29+B30+B31+B32+B33+B34+B35)-C35</f>
        <v>-66139095.683333397</v>
      </c>
      <c r="E35" s="274">
        <f>385848699.3+20051512.81</f>
        <v>405900212.11000001</v>
      </c>
      <c r="F35" s="253">
        <f>F28*8</f>
        <v>2503074000</v>
      </c>
      <c r="G35" s="249">
        <f>SUM(E28+E29+E30+E31+E32+E33+E34+E35)-F35</f>
        <v>-78639543.260000229</v>
      </c>
      <c r="H35" s="255">
        <f t="shared" si="0"/>
        <v>603622228.88999999</v>
      </c>
      <c r="I35" s="253">
        <f>I28*8</f>
        <v>4763206000</v>
      </c>
      <c r="J35" s="249">
        <f>SUM(H28+H29+H30+H31+H32+H33+H34+H35)-I35</f>
        <v>-252202867.10000038</v>
      </c>
      <c r="K35" s="272">
        <f>J35/I40</f>
        <v>-3.5298755656029489E-2</v>
      </c>
    </row>
    <row r="36" spans="1:13" ht="15" customHeight="1" x14ac:dyDescent="0.2">
      <c r="A36" s="269" t="s">
        <v>15</v>
      </c>
      <c r="B36" s="273">
        <f>251701214.8</f>
        <v>251701214.80000001</v>
      </c>
      <c r="C36" s="253">
        <f>C28*9</f>
        <v>938492250</v>
      </c>
      <c r="D36" s="249">
        <f>SUM(B28+B29+B30+B31+B32+B33+B34+B35+B36)-C36</f>
        <v>81285202.450000048</v>
      </c>
      <c r="E36" s="274">
        <f>287264617.94</f>
        <v>287264617.94</v>
      </c>
      <c r="F36" s="253">
        <f>F28*9</f>
        <v>2815958250</v>
      </c>
      <c r="G36" s="249">
        <f>SUM(E28+E29+E30+E31+E32+E33+E34+E35+E36)-F36</f>
        <v>-104259175.32000017</v>
      </c>
      <c r="H36" s="255">
        <f t="shared" si="0"/>
        <v>730883536.74000001</v>
      </c>
      <c r="I36" s="253">
        <f>I28*9</f>
        <v>5358606750</v>
      </c>
      <c r="J36" s="249">
        <f>SUM(H28+H29+H30+H31+H32+H33+H34+H35+H36)-I36</f>
        <v>-116720080.36000061</v>
      </c>
      <c r="K36" s="272">
        <f>J36/I40</f>
        <v>-1.6336347180169634E-2</v>
      </c>
    </row>
    <row r="37" spans="1:13" ht="15" customHeight="1" x14ac:dyDescent="0.2">
      <c r="A37" s="269" t="s">
        <v>16</v>
      </c>
      <c r="B37" s="270">
        <f>43743169.66+15406228.28</f>
        <v>59149397.939999998</v>
      </c>
      <c r="C37" s="253">
        <f>C28*10</f>
        <v>1042769166.6666667</v>
      </c>
      <c r="D37" s="249">
        <f>SUM(B28+B29+B30+B31+B32+B33+B34+B35+B36+B37)-C37</f>
        <v>36157683.723333359</v>
      </c>
      <c r="E37" s="274">
        <f>264290535.88+28212249.75</f>
        <v>292502785.63</v>
      </c>
      <c r="F37" s="253">
        <f>F28*10</f>
        <v>3128842500</v>
      </c>
      <c r="G37" s="249">
        <f>SUM(E28+E29+E30+E31+E32+E33+E34+E35+E36+E37)-F37</f>
        <v>-124640639.69000006</v>
      </c>
      <c r="H37" s="255">
        <f t="shared" si="0"/>
        <v>553319115.51999998</v>
      </c>
      <c r="I37" s="253">
        <f>I28*10</f>
        <v>5954007500</v>
      </c>
      <c r="J37" s="249">
        <f>SUM(H28+H29+H30+H31+H32+H33+H34+H35+H36+H37)-I37</f>
        <v>-158801714.84000015</v>
      </c>
      <c r="K37" s="272">
        <f>J37/I40</f>
        <v>-2.2226166555327113E-2</v>
      </c>
    </row>
    <row r="38" spans="1:13" ht="15" customHeight="1" x14ac:dyDescent="0.2">
      <c r="A38" s="269" t="s">
        <v>17</v>
      </c>
      <c r="B38" s="270">
        <f>11824039.05+2795828.95</f>
        <v>14619868</v>
      </c>
      <c r="C38" s="253">
        <f>C28*11</f>
        <v>1147046083.3333335</v>
      </c>
      <c r="D38" s="249">
        <f>SUM(B28+B29+B30+B31+B32+B33+B34+B35+B36+B37+B38)-C38</f>
        <v>-53499364.943333387</v>
      </c>
      <c r="E38" s="274">
        <f>404452030.97+22983403.81</f>
        <v>427435434.78000003</v>
      </c>
      <c r="F38" s="253">
        <f>F28*11</f>
        <v>3441726750</v>
      </c>
      <c r="G38" s="249">
        <f>SUM(E28+E29+E30+E31+E32+E33+E34+E35+E36+E37+E38)-F38</f>
        <v>-10089454.909999847</v>
      </c>
      <c r="H38" s="255">
        <f t="shared" si="0"/>
        <v>640501684.29999995</v>
      </c>
      <c r="I38" s="253">
        <f>I28*11</f>
        <v>6549408250</v>
      </c>
      <c r="J38" s="249">
        <f>SUM(H28+H29+H30+H31+H32+H33+H34+H35+H36+H37+H38)-I38</f>
        <v>-113700780.53999996</v>
      </c>
      <c r="K38" s="272">
        <f>J38/I40</f>
        <v>-1.5913760681356207E-2</v>
      </c>
    </row>
    <row r="39" spans="1:13" ht="15" customHeight="1" thickBot="1" x14ac:dyDescent="0.25">
      <c r="A39" s="340" t="s">
        <v>18</v>
      </c>
      <c r="B39" s="335">
        <f>4898458.8+275877417.97</f>
        <v>280775876.77000004</v>
      </c>
      <c r="C39" s="332">
        <f>C28*12</f>
        <v>1251323000</v>
      </c>
      <c r="D39" s="410">
        <f>SUM(B28+B29+B30+B31+B32+B33+B34+B35+B36+B37+B38+B39)-C39</f>
        <v>122999595.16000009</v>
      </c>
      <c r="E39" s="337">
        <f>311245724.81+27602079.37</f>
        <v>338847804.18000001</v>
      </c>
      <c r="F39" s="332">
        <f>F28*12</f>
        <v>3754611000</v>
      </c>
      <c r="G39" s="249">
        <f>SUM(E28+E29+E30+E31+E32+E33+E34+E35+E36+E37+E38+E39)-F39</f>
        <v>15874099.269999981</v>
      </c>
      <c r="H39" s="275">
        <f t="shared" si="0"/>
        <v>860241963.17000008</v>
      </c>
      <c r="I39" s="338">
        <f>I28*12</f>
        <v>7144809000</v>
      </c>
      <c r="J39" s="411">
        <f>SUM(H28+H29+H30+H31+H32+H33+H34+H35+H36+H37+H38+H39)-I39</f>
        <v>151140432.63000011</v>
      </c>
      <c r="K39" s="272">
        <f>J39/I40</f>
        <v>2.115388005893511E-2</v>
      </c>
    </row>
    <row r="40" spans="1:13" ht="15" customHeight="1" thickBot="1" x14ac:dyDescent="0.25">
      <c r="A40" s="257" t="s">
        <v>19</v>
      </c>
      <c r="B40" s="347">
        <f>SUM(B28:B39)</f>
        <v>1374322595.1600001</v>
      </c>
      <c r="C40" s="276">
        <f>1712499000-470000000+8824000</f>
        <v>1251323000</v>
      </c>
      <c r="D40" s="277"/>
      <c r="E40" s="345">
        <f>SUM(E28:E39)</f>
        <v>3770485099.27</v>
      </c>
      <c r="F40" s="258">
        <f>4104611000-350000000</f>
        <v>3754611000</v>
      </c>
      <c r="G40" s="278"/>
      <c r="H40" s="351">
        <f>$B20+$E20+$H20+$K20+$B40+$E40</f>
        <v>7295949432.6299992</v>
      </c>
      <c r="I40" s="279">
        <f>C20+F20+I20+L20+C40+F40</f>
        <v>7144809000</v>
      </c>
      <c r="J40" s="280"/>
      <c r="K40" s="350"/>
    </row>
    <row r="41" spans="1:13" x14ac:dyDescent="0.2">
      <c r="A41" s="659" t="s">
        <v>134</v>
      </c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I6:I7"/>
    <mergeCell ref="J6:J7"/>
    <mergeCell ref="C26:C27"/>
    <mergeCell ref="D26:D27"/>
    <mergeCell ref="H6:H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F6:F7"/>
    <mergeCell ref="G6:G7"/>
    <mergeCell ref="E6:E7"/>
    <mergeCell ref="K26:K27"/>
    <mergeCell ref="A42:M42"/>
    <mergeCell ref="E26:E27"/>
    <mergeCell ref="F26:F27"/>
    <mergeCell ref="G26:G27"/>
    <mergeCell ref="H26:H27"/>
    <mergeCell ref="I26:I27"/>
    <mergeCell ref="J26:J27"/>
    <mergeCell ref="A24:A27"/>
    <mergeCell ref="B24:D25"/>
    <mergeCell ref="E24:G25"/>
    <mergeCell ref="H24:J25"/>
    <mergeCell ref="B26:B27"/>
    <mergeCell ref="A41:K41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0000"/>
    <pageSetUpPr fitToPage="1"/>
  </sheetPr>
  <dimension ref="A1:S73"/>
  <sheetViews>
    <sheetView showGridLines="0" topLeftCell="A13" zoomScale="130" zoomScaleNormal="130" zoomScaleSheetLayoutView="100" workbookViewId="0">
      <selection activeCell="B52" sqref="B52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8.5" x14ac:dyDescent="0.45">
      <c r="A1" s="57"/>
      <c r="B1" s="656" t="s">
        <v>123</v>
      </c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7"/>
      <c r="S1" s="657"/>
    </row>
    <row r="2" spans="1:19" ht="20.25" x14ac:dyDescent="0.3">
      <c r="B2" s="587" t="s">
        <v>133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92"/>
      <c r="P2" s="592"/>
      <c r="Q2" s="592"/>
      <c r="R2" s="592"/>
      <c r="S2" s="592"/>
    </row>
    <row r="3" spans="1:19" ht="12.75" customHeight="1" x14ac:dyDescent="0.25">
      <c r="A3" s="59"/>
    </row>
    <row r="38" spans="11:19" x14ac:dyDescent="0.2">
      <c r="K38" s="60"/>
    </row>
    <row r="39" spans="11:19" x14ac:dyDescent="0.2">
      <c r="K39" s="60"/>
    </row>
    <row r="44" spans="11:19" x14ac:dyDescent="0.2">
      <c r="K44" s="61"/>
      <c r="L44" s="62"/>
      <c r="M44" s="62"/>
      <c r="N44" s="62"/>
      <c r="O44" s="62"/>
      <c r="P44" s="62"/>
      <c r="Q44" s="62"/>
      <c r="R44" s="62"/>
      <c r="S44" s="62"/>
    </row>
    <row r="45" spans="11:19" x14ac:dyDescent="0.2">
      <c r="L45" s="62"/>
      <c r="M45" s="62"/>
      <c r="N45" s="62"/>
      <c r="O45" s="62"/>
      <c r="P45" s="62"/>
      <c r="Q45" s="62"/>
      <c r="R45" s="62"/>
      <c r="S45" s="62"/>
    </row>
    <row r="46" spans="11:19" x14ac:dyDescent="0.2">
      <c r="L46" s="62"/>
      <c r="M46" s="62"/>
      <c r="N46" s="62"/>
      <c r="O46" s="62"/>
      <c r="P46" s="62"/>
      <c r="Q46" s="62"/>
      <c r="R46" s="62"/>
      <c r="S46" s="62"/>
    </row>
    <row r="47" spans="11:19" x14ac:dyDescent="0.2">
      <c r="K47" s="61"/>
      <c r="L47" s="62"/>
      <c r="M47" s="62"/>
      <c r="N47" s="62"/>
      <c r="O47" s="62"/>
      <c r="P47" s="62"/>
      <c r="Q47" s="62"/>
      <c r="R47" s="62"/>
      <c r="S47" s="62"/>
    </row>
    <row r="48" spans="11:19" x14ac:dyDescent="0.2">
      <c r="K48" s="61" t="s">
        <v>35</v>
      </c>
      <c r="L48" s="62"/>
      <c r="M48" s="62"/>
      <c r="N48" s="62"/>
      <c r="O48" s="62"/>
      <c r="P48" s="62"/>
      <c r="Q48" s="62"/>
      <c r="R48" s="62"/>
      <c r="S48" s="62"/>
    </row>
    <row r="49" spans="1:19" x14ac:dyDescent="0.2">
      <c r="L49" s="62"/>
      <c r="M49" s="62"/>
      <c r="N49" s="62"/>
      <c r="O49" s="62"/>
      <c r="P49" s="62"/>
      <c r="Q49" s="62"/>
      <c r="R49" s="62"/>
      <c r="S49" s="62"/>
    </row>
    <row r="50" spans="1:19" ht="28.5" x14ac:dyDescent="0.45">
      <c r="A50" s="57"/>
      <c r="B50" s="656" t="s">
        <v>124</v>
      </c>
      <c r="C50" s="657"/>
      <c r="D50" s="657"/>
      <c r="E50" s="657"/>
      <c r="F50" s="657"/>
      <c r="G50" s="657"/>
      <c r="H50" s="657"/>
      <c r="I50" s="657"/>
      <c r="J50" s="657"/>
      <c r="K50" s="657"/>
      <c r="L50" s="657"/>
      <c r="M50" s="657"/>
      <c r="N50" s="657"/>
      <c r="O50" s="657"/>
      <c r="P50" s="657"/>
      <c r="Q50" s="657"/>
      <c r="R50" s="657"/>
      <c r="S50" s="657"/>
    </row>
    <row r="51" spans="1:19" ht="20.25" x14ac:dyDescent="0.3">
      <c r="B51" s="587" t="s">
        <v>133</v>
      </c>
      <c r="C51" s="586"/>
      <c r="D51" s="586"/>
      <c r="E51" s="586"/>
      <c r="F51" s="586"/>
      <c r="G51" s="586"/>
      <c r="H51" s="586"/>
      <c r="I51" s="586"/>
      <c r="J51" s="586"/>
      <c r="K51" s="586"/>
      <c r="L51" s="586"/>
      <c r="M51" s="586"/>
      <c r="N51" s="586"/>
      <c r="O51" s="592"/>
      <c r="P51" s="592"/>
      <c r="Q51" s="592"/>
      <c r="R51" s="592"/>
      <c r="S51" s="592"/>
    </row>
    <row r="73" spans="11:19" x14ac:dyDescent="0.2">
      <c r="K73" s="632"/>
      <c r="L73" s="633"/>
      <c r="M73" s="633"/>
      <c r="N73" s="633"/>
      <c r="O73" s="633"/>
      <c r="P73" s="633"/>
      <c r="Q73" s="633"/>
      <c r="R73" s="633"/>
      <c r="S73" s="633"/>
    </row>
  </sheetData>
  <mergeCells count="5">
    <mergeCell ref="B1:S1"/>
    <mergeCell ref="B2:S2"/>
    <mergeCell ref="B50:S50"/>
    <mergeCell ref="B51:S51"/>
    <mergeCell ref="K73:S73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6" fitToHeight="2" orientation="landscape" r:id="rId1"/>
  <headerFooter alignWithMargins="0"/>
  <rowBreaks count="1" manualBreakCount="1">
    <brk id="49" max="19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1"/>
    <pageSetUpPr fitToPage="1"/>
  </sheetPr>
  <dimension ref="A1:N48"/>
  <sheetViews>
    <sheetView showGridLines="0" topLeftCell="A16" zoomScale="130" zoomScaleNormal="130" workbookViewId="0">
      <selection activeCell="D22" sqref="D22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85" t="s">
        <v>125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20.25" x14ac:dyDescent="0.3">
      <c r="A2" s="638" t="s">
        <v>133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67" t="s">
        <v>2</v>
      </c>
      <c r="B4" s="588" t="s">
        <v>95</v>
      </c>
      <c r="C4" s="640"/>
      <c r="D4" s="641"/>
      <c r="E4" s="647" t="s">
        <v>94</v>
      </c>
      <c r="F4" s="640"/>
      <c r="G4" s="641"/>
      <c r="H4" s="591" t="s">
        <v>93</v>
      </c>
      <c r="I4" s="640"/>
      <c r="J4" s="641"/>
      <c r="K4" s="570" t="s">
        <v>92</v>
      </c>
      <c r="L4" s="640"/>
      <c r="M4" s="641"/>
      <c r="N4" s="73"/>
    </row>
    <row r="5" spans="1:14" ht="13.5" customHeight="1" thickBot="1" x14ac:dyDescent="0.25">
      <c r="A5" s="645"/>
      <c r="B5" s="642"/>
      <c r="C5" s="643"/>
      <c r="D5" s="644"/>
      <c r="E5" s="642"/>
      <c r="F5" s="643"/>
      <c r="G5" s="644"/>
      <c r="H5" s="642"/>
      <c r="I5" s="643"/>
      <c r="J5" s="644"/>
      <c r="K5" s="642"/>
      <c r="L5" s="643"/>
      <c r="M5" s="644"/>
      <c r="N5" s="71"/>
    </row>
    <row r="6" spans="1:14" ht="13.5" customHeight="1" x14ac:dyDescent="0.2">
      <c r="A6" s="645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84" t="s">
        <v>6</v>
      </c>
      <c r="I6" s="557" t="s">
        <v>31</v>
      </c>
      <c r="J6" s="559" t="s">
        <v>32</v>
      </c>
      <c r="K6" s="584" t="s">
        <v>23</v>
      </c>
      <c r="L6" s="557" t="s">
        <v>31</v>
      </c>
      <c r="M6" s="559" t="s">
        <v>32</v>
      </c>
    </row>
    <row r="7" spans="1:14" ht="13.5" customHeight="1" thickBot="1" x14ac:dyDescent="0.25">
      <c r="A7" s="646"/>
      <c r="B7" s="636"/>
      <c r="C7" s="635"/>
      <c r="D7" s="634"/>
      <c r="E7" s="636"/>
      <c r="F7" s="635"/>
      <c r="G7" s="634"/>
      <c r="H7" s="636"/>
      <c r="I7" s="635"/>
      <c r="J7" s="634"/>
      <c r="K7" s="636"/>
      <c r="L7" s="635"/>
      <c r="M7" s="634"/>
    </row>
    <row r="8" spans="1:14" ht="15" customHeight="1" x14ac:dyDescent="0.2">
      <c r="A8" s="245" t="s">
        <v>7</v>
      </c>
      <c r="B8" s="247">
        <f>69734555.11+113302944.22</f>
        <v>183037499.32999998</v>
      </c>
      <c r="C8" s="248">
        <f>C20/12</f>
        <v>148684250</v>
      </c>
      <c r="D8" s="249">
        <f>B8-C8</f>
        <v>34353249.329999983</v>
      </c>
      <c r="E8" s="250">
        <f>4759785.02+7733578.5</f>
        <v>12493363.52</v>
      </c>
      <c r="F8" s="248">
        <f>F20/12</f>
        <v>10149083.333333334</v>
      </c>
      <c r="G8" s="249">
        <f>E8-F8</f>
        <v>2344280.1866666656</v>
      </c>
      <c r="H8" s="250">
        <f>2693640.33+826716.63</f>
        <v>3520356.96</v>
      </c>
      <c r="I8" s="248">
        <f>I20/12</f>
        <v>3811500</v>
      </c>
      <c r="J8" s="251">
        <f>H8-I8</f>
        <v>-291143.04000000004</v>
      </c>
      <c r="K8" s="250">
        <f>8448986.63+6146806.78</f>
        <v>14595793.41</v>
      </c>
      <c r="L8" s="248">
        <f>L20/12</f>
        <v>15594750</v>
      </c>
      <c r="M8" s="251">
        <f>K8-L8</f>
        <v>-998956.58999999985</v>
      </c>
    </row>
    <row r="9" spans="1:14" ht="15" customHeight="1" x14ac:dyDescent="0.2">
      <c r="A9" s="246" t="s">
        <v>8</v>
      </c>
      <c r="B9" s="252">
        <f>71009985.6+98205466.92+B8</f>
        <v>352252951.84999996</v>
      </c>
      <c r="C9" s="253">
        <f>C8*2</f>
        <v>297368500</v>
      </c>
      <c r="D9" s="249">
        <f>B9-C9</f>
        <v>54884451.849999964</v>
      </c>
      <c r="E9" s="247">
        <f>4846840.53+6703088.79+E8</f>
        <v>24043292.84</v>
      </c>
      <c r="F9" s="253">
        <f>F8*2</f>
        <v>20298166.666666668</v>
      </c>
      <c r="G9" s="249">
        <f t="shared" ref="G9:G19" si="0">E9-F9</f>
        <v>3745126.1733333319</v>
      </c>
      <c r="H9" s="247">
        <f>1125970.31+1304679.01+H8</f>
        <v>5951006.2800000003</v>
      </c>
      <c r="I9" s="253">
        <f>I8*2</f>
        <v>7623000</v>
      </c>
      <c r="J9" s="249">
        <f t="shared" ref="J9:J19" si="1">H9-I9</f>
        <v>-1671993.7199999997</v>
      </c>
      <c r="K9" s="252">
        <f>12097721.18+5036161.68+K8</f>
        <v>31729676.27</v>
      </c>
      <c r="L9" s="253">
        <f>L8*2</f>
        <v>31189500</v>
      </c>
      <c r="M9" s="249">
        <f t="shared" ref="M9:M19" si="2">K9-L9</f>
        <v>540176.26999999955</v>
      </c>
    </row>
    <row r="10" spans="1:14" ht="15" customHeight="1" x14ac:dyDescent="0.2">
      <c r="A10" s="246" t="s">
        <v>9</v>
      </c>
      <c r="B10" s="252">
        <f>67545867.14+88238616.3+B9</f>
        <v>508037435.28999996</v>
      </c>
      <c r="C10" s="253">
        <f>C8*3</f>
        <v>446052750</v>
      </c>
      <c r="D10" s="249">
        <f>B10-C10</f>
        <v>61984685.289999962</v>
      </c>
      <c r="E10" s="247">
        <f>4610394.46+6022793.84+E9</f>
        <v>34676481.140000001</v>
      </c>
      <c r="F10" s="254">
        <f>F8*3</f>
        <v>30447250</v>
      </c>
      <c r="G10" s="249">
        <f t="shared" si="0"/>
        <v>4229231.1400000006</v>
      </c>
      <c r="H10" s="247">
        <f>2600098.32+4687130.64+H9</f>
        <v>13238235.239999998</v>
      </c>
      <c r="I10" s="254">
        <f>I8*3</f>
        <v>11434500</v>
      </c>
      <c r="J10" s="249">
        <f t="shared" si="1"/>
        <v>1803735.2399999984</v>
      </c>
      <c r="K10" s="252">
        <f>6045541.62+5760312.61+K9</f>
        <v>43535530.5</v>
      </c>
      <c r="L10" s="254">
        <f>L8*3</f>
        <v>46784250</v>
      </c>
      <c r="M10" s="249">
        <f t="shared" si="2"/>
        <v>-3248719.5</v>
      </c>
    </row>
    <row r="11" spans="1:14" ht="15" customHeight="1" x14ac:dyDescent="0.2">
      <c r="A11" s="246" t="s">
        <v>10</v>
      </c>
      <c r="B11" s="252">
        <f>50647804.01+78452173.52+B10</f>
        <v>637137412.81999993</v>
      </c>
      <c r="C11" s="253">
        <f>C8*4</f>
        <v>594737000</v>
      </c>
      <c r="D11" s="249">
        <f t="shared" ref="D11:D19" si="3">B11-C11</f>
        <v>42400412.819999933</v>
      </c>
      <c r="E11" s="247">
        <f>3457004.32+5354812.74+E10</f>
        <v>43488298.200000003</v>
      </c>
      <c r="F11" s="253">
        <f>F8*4</f>
        <v>40596333.333333336</v>
      </c>
      <c r="G11" s="249">
        <f t="shared" si="0"/>
        <v>2891964.8666666672</v>
      </c>
      <c r="H11" s="247">
        <f t="shared" ref="H11:H16" si="4">0+H10</f>
        <v>13238235.239999998</v>
      </c>
      <c r="I11" s="253">
        <f>I8*4</f>
        <v>15246000</v>
      </c>
      <c r="J11" s="249">
        <f t="shared" si="1"/>
        <v>-2007764.7600000016</v>
      </c>
      <c r="K11" s="252">
        <f>6169055.69+5186277.16+K10</f>
        <v>54890863.350000001</v>
      </c>
      <c r="L11" s="253">
        <f>L8*4</f>
        <v>62379000</v>
      </c>
      <c r="M11" s="249">
        <f t="shared" si="2"/>
        <v>-7488136.6499999985</v>
      </c>
    </row>
    <row r="12" spans="1:14" ht="15" customHeight="1" x14ac:dyDescent="0.2">
      <c r="A12" s="246" t="s">
        <v>11</v>
      </c>
      <c r="B12" s="252">
        <f>32351760.94+B11</f>
        <v>669489173.75999999</v>
      </c>
      <c r="C12" s="253">
        <f>C8*5</f>
        <v>743421250</v>
      </c>
      <c r="D12" s="249">
        <f t="shared" si="3"/>
        <v>-73932076.24000001</v>
      </c>
      <c r="E12" s="247">
        <f>2208194.03+E11</f>
        <v>45696492.230000004</v>
      </c>
      <c r="F12" s="253">
        <f>F8*5</f>
        <v>50745416.666666672</v>
      </c>
      <c r="G12" s="249">
        <f t="shared" si="0"/>
        <v>-5048924.4366666675</v>
      </c>
      <c r="H12" s="247">
        <f t="shared" si="4"/>
        <v>13238235.239999998</v>
      </c>
      <c r="I12" s="253">
        <f>I8*5</f>
        <v>19057500</v>
      </c>
      <c r="J12" s="249">
        <f t="shared" si="1"/>
        <v>-5819264.7600000016</v>
      </c>
      <c r="K12" s="252">
        <f>7478104.68+5201660.73+K11</f>
        <v>67570628.760000005</v>
      </c>
      <c r="L12" s="253">
        <f>L8*5</f>
        <v>77973750</v>
      </c>
      <c r="M12" s="249">
        <f>K12-L12</f>
        <v>-10403121.239999995</v>
      </c>
    </row>
    <row r="13" spans="1:14" ht="15" customHeight="1" x14ac:dyDescent="0.2">
      <c r="A13" s="246" t="s">
        <v>12</v>
      </c>
      <c r="B13" s="252">
        <f>33812639.88+77495839.22+B12</f>
        <v>780797652.86000001</v>
      </c>
      <c r="C13" s="253">
        <f>C8*6</f>
        <v>892105500</v>
      </c>
      <c r="D13" s="249">
        <f t="shared" si="3"/>
        <v>-111307847.13999999</v>
      </c>
      <c r="E13" s="247">
        <f>2307907.43+5289537.39+E12</f>
        <v>53293937.050000004</v>
      </c>
      <c r="F13" s="253">
        <f>F8*6</f>
        <v>60894500</v>
      </c>
      <c r="G13" s="249">
        <f t="shared" si="0"/>
        <v>-7600562.9499999955</v>
      </c>
      <c r="H13" s="247">
        <f t="shared" si="4"/>
        <v>13238235.239999998</v>
      </c>
      <c r="I13" s="253">
        <f>I8*6</f>
        <v>22869000</v>
      </c>
      <c r="J13" s="249">
        <f t="shared" si="1"/>
        <v>-9630764.7600000016</v>
      </c>
      <c r="K13" s="252">
        <f>7408719.64+7159860.77+K12</f>
        <v>82139209.170000002</v>
      </c>
      <c r="L13" s="253">
        <f>L8*6</f>
        <v>93568500</v>
      </c>
      <c r="M13" s="249">
        <f t="shared" si="2"/>
        <v>-11429290.829999998</v>
      </c>
    </row>
    <row r="14" spans="1:14" ht="15" customHeight="1" x14ac:dyDescent="0.2">
      <c r="A14" s="246" t="s">
        <v>13</v>
      </c>
      <c r="B14" s="252">
        <f>57142149.96+105911996.76+B13</f>
        <v>943851799.58000004</v>
      </c>
      <c r="C14" s="253">
        <f>C8*7</f>
        <v>1040789750</v>
      </c>
      <c r="D14" s="249">
        <f t="shared" si="3"/>
        <v>-96937950.419999957</v>
      </c>
      <c r="E14" s="247">
        <f>3900280.88+7229103.81+E13</f>
        <v>64423321.740000002</v>
      </c>
      <c r="F14" s="253">
        <f>F8*7</f>
        <v>71043583.333333343</v>
      </c>
      <c r="G14" s="249">
        <f t="shared" si="0"/>
        <v>-6620261.5933333412</v>
      </c>
      <c r="H14" s="247">
        <f t="shared" si="4"/>
        <v>13238235.239999998</v>
      </c>
      <c r="I14" s="253">
        <f>I8*7</f>
        <v>26680500</v>
      </c>
      <c r="J14" s="249">
        <f t="shared" si="1"/>
        <v>-13442264.760000002</v>
      </c>
      <c r="K14" s="252">
        <f>9453571.24+7664284.76+K13</f>
        <v>99257065.170000002</v>
      </c>
      <c r="L14" s="253">
        <f>L8*7</f>
        <v>109163250</v>
      </c>
      <c r="M14" s="249">
        <f t="shared" si="2"/>
        <v>-9906184.8299999982</v>
      </c>
    </row>
    <row r="15" spans="1:14" ht="15" customHeight="1" x14ac:dyDescent="0.2">
      <c r="A15" s="246" t="s">
        <v>14</v>
      </c>
      <c r="B15" s="252">
        <f>62657901.71+106392362.74+B14</f>
        <v>1112902064.03</v>
      </c>
      <c r="C15" s="253">
        <f>C8*8</f>
        <v>1189474000</v>
      </c>
      <c r="D15" s="249">
        <f t="shared" si="3"/>
        <v>-76571935.970000029</v>
      </c>
      <c r="E15" s="247">
        <f>4276762.7+7261891.58+E14</f>
        <v>75961976.020000011</v>
      </c>
      <c r="F15" s="253">
        <f>F8*8</f>
        <v>81192666.666666672</v>
      </c>
      <c r="G15" s="249">
        <f t="shared" si="0"/>
        <v>-5230690.6466666609</v>
      </c>
      <c r="H15" s="247">
        <f t="shared" si="4"/>
        <v>13238235.239999998</v>
      </c>
      <c r="I15" s="253">
        <f>I8*8</f>
        <v>30492000</v>
      </c>
      <c r="J15" s="249">
        <f t="shared" si="1"/>
        <v>-17253764.760000002</v>
      </c>
      <c r="K15" s="252">
        <f>11289826.34+5843271.71+K14</f>
        <v>116390163.22</v>
      </c>
      <c r="L15" s="253">
        <f>L8*8</f>
        <v>124758000</v>
      </c>
      <c r="M15" s="249">
        <f t="shared" si="2"/>
        <v>-8367836.7800000012</v>
      </c>
    </row>
    <row r="16" spans="1:14" ht="15" customHeight="1" x14ac:dyDescent="0.2">
      <c r="A16" s="246" t="s">
        <v>15</v>
      </c>
      <c r="B16" s="252">
        <f>69874432.7+91357133.03+B15</f>
        <v>1274133629.76</v>
      </c>
      <c r="C16" s="253">
        <f>C8*9</f>
        <v>1338158250</v>
      </c>
      <c r="D16" s="249">
        <f t="shared" si="3"/>
        <v>-64024620.24000001</v>
      </c>
      <c r="E16" s="247">
        <f>4769332.49+6543268.05+E15</f>
        <v>87274576.560000002</v>
      </c>
      <c r="F16" s="253">
        <f>F8*9</f>
        <v>91341750</v>
      </c>
      <c r="G16" s="249">
        <f t="shared" si="0"/>
        <v>-4067173.4399999976</v>
      </c>
      <c r="H16" s="247">
        <f t="shared" si="4"/>
        <v>13238235.239999998</v>
      </c>
      <c r="I16" s="253">
        <f>I8*9</f>
        <v>34303500</v>
      </c>
      <c r="J16" s="249">
        <f t="shared" si="1"/>
        <v>-21065264.760000002</v>
      </c>
      <c r="K16" s="252">
        <f>13914712.99+5458824.74+K15</f>
        <v>135763700.94999999</v>
      </c>
      <c r="L16" s="253">
        <f>L8*9</f>
        <v>140352750</v>
      </c>
      <c r="M16" s="249">
        <f t="shared" si="2"/>
        <v>-4589049.0500000119</v>
      </c>
    </row>
    <row r="17" spans="1:13" ht="15" customHeight="1" x14ac:dyDescent="0.2">
      <c r="A17" s="246" t="s">
        <v>16</v>
      </c>
      <c r="B17" s="252">
        <f>63941599.45+107700401.69+B16</f>
        <v>1445775630.9000001</v>
      </c>
      <c r="C17" s="253">
        <f>C8*10</f>
        <v>1486842500</v>
      </c>
      <c r="D17" s="249">
        <f t="shared" si="3"/>
        <v>-41066869.099999905</v>
      </c>
      <c r="E17" s="247">
        <f>4380713.86+7378680.7+E16</f>
        <v>99033971.120000005</v>
      </c>
      <c r="F17" s="253">
        <f>F8*10</f>
        <v>101490833.33333334</v>
      </c>
      <c r="G17" s="249">
        <f t="shared" si="0"/>
        <v>-2456862.2133333385</v>
      </c>
      <c r="H17" s="247">
        <f>698800.09+727752.46+H16</f>
        <v>14664787.789999999</v>
      </c>
      <c r="I17" s="253">
        <f>I8*10</f>
        <v>38115000</v>
      </c>
      <c r="J17" s="249">
        <f t="shared" si="1"/>
        <v>-23450212.210000001</v>
      </c>
      <c r="K17" s="252">
        <f>10097581.2+6741402.5+K16</f>
        <v>152602684.64999998</v>
      </c>
      <c r="L17" s="253">
        <f>L8*10</f>
        <v>155947500</v>
      </c>
      <c r="M17" s="249">
        <f t="shared" si="2"/>
        <v>-3344815.3500000238</v>
      </c>
    </row>
    <row r="18" spans="1:13" ht="15" customHeight="1" x14ac:dyDescent="0.2">
      <c r="A18" s="246" t="s">
        <v>17</v>
      </c>
      <c r="B18" s="252">
        <f>62181201.21+107350839.32+B17</f>
        <v>1615307671.4300001</v>
      </c>
      <c r="C18" s="253">
        <f>C8*11</f>
        <v>1635526750</v>
      </c>
      <c r="D18" s="249">
        <f t="shared" si="3"/>
        <v>-20219078.569999933</v>
      </c>
      <c r="E18" s="247">
        <f>4260106.97+7354731.75+E17</f>
        <v>110648809.84</v>
      </c>
      <c r="F18" s="253">
        <f>F8*11</f>
        <v>111639916.66666667</v>
      </c>
      <c r="G18" s="249">
        <f t="shared" si="0"/>
        <v>-991106.82666666806</v>
      </c>
      <c r="H18" s="247">
        <f>922008.44+533404.88+H17</f>
        <v>16120201.109999999</v>
      </c>
      <c r="I18" s="253">
        <f>I8*11</f>
        <v>41926500</v>
      </c>
      <c r="J18" s="249">
        <f t="shared" si="1"/>
        <v>-25806298.890000001</v>
      </c>
      <c r="K18" s="252">
        <f>10032836.09+5811252.86+K17</f>
        <v>168446773.59999996</v>
      </c>
      <c r="L18" s="253">
        <f>L8*11</f>
        <v>171542250</v>
      </c>
      <c r="M18" s="249">
        <f t="shared" si="2"/>
        <v>-3095476.4000000358</v>
      </c>
    </row>
    <row r="19" spans="1:13" ht="15" customHeight="1" thickBot="1" x14ac:dyDescent="0.25">
      <c r="A19" s="339" t="s">
        <v>18</v>
      </c>
      <c r="B19" s="252">
        <f>70519568.48+127366803.79+B18</f>
        <v>1813194043.7</v>
      </c>
      <c r="C19" s="332">
        <f>C8*12</f>
        <v>1784211000</v>
      </c>
      <c r="D19" s="249">
        <f t="shared" si="3"/>
        <v>28983043.700000048</v>
      </c>
      <c r="E19" s="247">
        <f>4831378.23+8726048.96+E18</f>
        <v>124206237.03</v>
      </c>
      <c r="F19" s="332">
        <f>F8*12</f>
        <v>121789000</v>
      </c>
      <c r="G19" s="249">
        <f t="shared" si="0"/>
        <v>2417237.0300000012</v>
      </c>
      <c r="H19" s="247">
        <f>760309.44+13223944.74+H18</f>
        <v>30104455.289999999</v>
      </c>
      <c r="I19" s="332">
        <f>I8*12</f>
        <v>45738000</v>
      </c>
      <c r="J19" s="249">
        <f t="shared" si="1"/>
        <v>-15633544.710000001</v>
      </c>
      <c r="K19" s="252">
        <f>7419000.97+7771227.61+K18</f>
        <v>183637002.17999998</v>
      </c>
      <c r="L19" s="332">
        <f>L8*12</f>
        <v>187137000</v>
      </c>
      <c r="M19" s="249">
        <f t="shared" si="2"/>
        <v>-3499997.8200000226</v>
      </c>
    </row>
    <row r="20" spans="1:13" ht="15" customHeight="1" thickBot="1" x14ac:dyDescent="0.25">
      <c r="A20" s="257" t="s">
        <v>19</v>
      </c>
      <c r="B20" s="345">
        <f>B19</f>
        <v>1813194043.7</v>
      </c>
      <c r="C20" s="258">
        <f>2046320000-262109000</f>
        <v>1784211000</v>
      </c>
      <c r="D20" s="259"/>
      <c r="E20" s="345">
        <f>E19</f>
        <v>124206237.03</v>
      </c>
      <c r="F20" s="258">
        <f>139680000-17891000</f>
        <v>121789000</v>
      </c>
      <c r="G20" s="260"/>
      <c r="H20" s="345">
        <f>H19</f>
        <v>30104455.289999999</v>
      </c>
      <c r="I20" s="258">
        <v>45738000</v>
      </c>
      <c r="J20" s="260"/>
      <c r="K20" s="345">
        <f>K19</f>
        <v>183637002.17999998</v>
      </c>
      <c r="L20" s="258">
        <v>187137000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3.5" customHeight="1" x14ac:dyDescent="0.2">
      <c r="A24" s="567" t="s">
        <v>2</v>
      </c>
      <c r="B24" s="576" t="s">
        <v>20</v>
      </c>
      <c r="C24" s="648"/>
      <c r="D24" s="649"/>
      <c r="E24" s="582" t="s">
        <v>21</v>
      </c>
      <c r="F24" s="648"/>
      <c r="G24" s="649"/>
      <c r="H24" s="583" t="s">
        <v>22</v>
      </c>
      <c r="I24" s="648"/>
      <c r="J24" s="649"/>
      <c r="K24" s="370"/>
    </row>
    <row r="25" spans="1:13" ht="13.5" customHeight="1" thickBot="1" x14ac:dyDescent="0.25">
      <c r="A25" s="645"/>
      <c r="B25" s="650"/>
      <c r="C25" s="651"/>
      <c r="D25" s="652"/>
      <c r="E25" s="650"/>
      <c r="F25" s="651"/>
      <c r="G25" s="652"/>
      <c r="H25" s="650"/>
      <c r="I25" s="651"/>
      <c r="J25" s="652"/>
      <c r="K25" s="370"/>
    </row>
    <row r="26" spans="1:13" ht="13.5" customHeight="1" x14ac:dyDescent="0.2">
      <c r="A26" s="645"/>
      <c r="B26" s="563" t="s">
        <v>24</v>
      </c>
      <c r="C26" s="557" t="s">
        <v>31</v>
      </c>
      <c r="D26" s="559" t="s">
        <v>32</v>
      </c>
      <c r="E26" s="563" t="s">
        <v>25</v>
      </c>
      <c r="F26" s="557" t="s">
        <v>31</v>
      </c>
      <c r="G26" s="559" t="s">
        <v>32</v>
      </c>
      <c r="H26" s="566" t="s">
        <v>19</v>
      </c>
      <c r="I26" s="557" t="s">
        <v>31</v>
      </c>
      <c r="J26" s="559" t="s">
        <v>32</v>
      </c>
      <c r="K26" s="553" t="s">
        <v>37</v>
      </c>
    </row>
    <row r="27" spans="1:13" ht="13.5" customHeight="1" thickBot="1" x14ac:dyDescent="0.25">
      <c r="A27" s="646"/>
      <c r="B27" s="655"/>
      <c r="C27" s="635"/>
      <c r="D27" s="634"/>
      <c r="E27" s="655"/>
      <c r="F27" s="654"/>
      <c r="G27" s="634"/>
      <c r="H27" s="636"/>
      <c r="I27" s="635"/>
      <c r="J27" s="634"/>
      <c r="K27" s="653"/>
    </row>
    <row r="28" spans="1:13" ht="15" customHeight="1" x14ac:dyDescent="0.2">
      <c r="A28" s="261" t="s">
        <v>7</v>
      </c>
      <c r="B28" s="262">
        <f>31294512.65+5014675.7</f>
        <v>36309188.350000001</v>
      </c>
      <c r="C28" s="248">
        <f>C40/12</f>
        <v>104276916.66666667</v>
      </c>
      <c r="D28" s="251">
        <f>B28-C28</f>
        <v>-67967728.316666663</v>
      </c>
      <c r="E28" s="263">
        <f>313068784.62+28058784.76</f>
        <v>341127569.38</v>
      </c>
      <c r="F28" s="264">
        <f>F40/12</f>
        <v>312884250</v>
      </c>
      <c r="G28" s="265">
        <f>E28-F28</f>
        <v>28243319.379999995</v>
      </c>
      <c r="H28" s="266">
        <f t="shared" ref="H28:H40" si="5">$B8+$E8+$H8+$K8+$B28+$E28</f>
        <v>591083770.95000005</v>
      </c>
      <c r="I28" s="264">
        <f>I40/12</f>
        <v>595400750</v>
      </c>
      <c r="J28" s="267">
        <f>H28-I28</f>
        <v>-4316979.0499999523</v>
      </c>
      <c r="K28" s="268">
        <f>J28/I40</f>
        <v>-6.0421196003979289E-4</v>
      </c>
    </row>
    <row r="29" spans="1:13" ht="15" customHeight="1" x14ac:dyDescent="0.2">
      <c r="A29" s="269" t="s">
        <v>8</v>
      </c>
      <c r="B29" s="270">
        <f>8680722.5+5840522.58+B28</f>
        <v>50830433.43</v>
      </c>
      <c r="C29" s="253">
        <f>C28*2</f>
        <v>208553833.33333334</v>
      </c>
      <c r="D29" s="249">
        <f t="shared" ref="D29:D39" si="6">B29-C29</f>
        <v>-157723399.90333334</v>
      </c>
      <c r="E29" s="271">
        <f>395095018.54+25119327.78+E28</f>
        <v>761341915.70000005</v>
      </c>
      <c r="F29" s="254">
        <f>F28*2</f>
        <v>625768500</v>
      </c>
      <c r="G29" s="249">
        <f t="shared" ref="G29:G39" si="7">E29-F29</f>
        <v>135573415.70000005</v>
      </c>
      <c r="H29" s="256">
        <f t="shared" si="5"/>
        <v>1226149276.3699999</v>
      </c>
      <c r="I29" s="254">
        <f>I28*2</f>
        <v>1190801500</v>
      </c>
      <c r="J29" s="249">
        <f t="shared" ref="J29:J39" si="8">H29-I29</f>
        <v>35347776.369999886</v>
      </c>
      <c r="K29" s="272">
        <f>J29/I40</f>
        <v>4.9473367825507838E-3</v>
      </c>
    </row>
    <row r="30" spans="1:13" ht="15" customHeight="1" x14ac:dyDescent="0.2">
      <c r="A30" s="269" t="s">
        <v>9</v>
      </c>
      <c r="B30" s="273">
        <f>6952715.59+296907676.83+B29</f>
        <v>354690825.84999996</v>
      </c>
      <c r="C30" s="254">
        <f>C28*3</f>
        <v>312830750</v>
      </c>
      <c r="D30" s="249">
        <f t="shared" si="6"/>
        <v>41860075.849999964</v>
      </c>
      <c r="E30" s="271">
        <f>196349973.08+22472520.65+E29</f>
        <v>980164409.43000007</v>
      </c>
      <c r="F30" s="254">
        <f>F28*3</f>
        <v>938652750</v>
      </c>
      <c r="G30" s="249">
        <f t="shared" si="7"/>
        <v>41511659.430000067</v>
      </c>
      <c r="H30" s="255">
        <f t="shared" si="5"/>
        <v>1934342917.45</v>
      </c>
      <c r="I30" s="254">
        <f>I28*3</f>
        <v>1786202250</v>
      </c>
      <c r="J30" s="249">
        <f t="shared" si="8"/>
        <v>148140667.45000005</v>
      </c>
      <c r="K30" s="272">
        <f>J30/I40</f>
        <v>2.0734027662600924E-2</v>
      </c>
    </row>
    <row r="31" spans="1:13" ht="15" customHeight="1" x14ac:dyDescent="0.2">
      <c r="A31" s="269" t="s">
        <v>10</v>
      </c>
      <c r="B31" s="270">
        <f>45810824.07+6929842.1+B30</f>
        <v>407431492.01999998</v>
      </c>
      <c r="C31" s="253">
        <f>C28*4</f>
        <v>417107666.66666669</v>
      </c>
      <c r="D31" s="249">
        <f t="shared" si="6"/>
        <v>-9676174.6466667056</v>
      </c>
      <c r="E31" s="271">
        <f>205989674.82+13040269.53+E30</f>
        <v>1199194353.78</v>
      </c>
      <c r="F31" s="253">
        <f>F28*4</f>
        <v>1251537000</v>
      </c>
      <c r="G31" s="249">
        <f t="shared" si="7"/>
        <v>-52342646.220000029</v>
      </c>
      <c r="H31" s="255">
        <f t="shared" si="5"/>
        <v>2355380655.4099998</v>
      </c>
      <c r="I31" s="253">
        <f>I28*4</f>
        <v>2381603000</v>
      </c>
      <c r="J31" s="249">
        <f t="shared" si="8"/>
        <v>-26222344.590000153</v>
      </c>
      <c r="K31" s="272">
        <f>J31/I40</f>
        <v>-3.6701253441484795E-3</v>
      </c>
    </row>
    <row r="32" spans="1:13" ht="15" customHeight="1" x14ac:dyDescent="0.2">
      <c r="A32" s="269" t="s">
        <v>11</v>
      </c>
      <c r="B32" s="273">
        <f t="shared" ref="B32:B35" si="9">0+B31</f>
        <v>407431492.01999998</v>
      </c>
      <c r="C32" s="253">
        <f>C28*5</f>
        <v>521384583.33333337</v>
      </c>
      <c r="D32" s="249">
        <f t="shared" si="6"/>
        <v>-113953091.31333339</v>
      </c>
      <c r="E32" s="271">
        <f>301192642.68+14418295.09+E31</f>
        <v>1514805291.55</v>
      </c>
      <c r="F32" s="253">
        <f>F28*5</f>
        <v>1564421250</v>
      </c>
      <c r="G32" s="249">
        <f t="shared" si="7"/>
        <v>-49615958.450000048</v>
      </c>
      <c r="H32" s="255">
        <f t="shared" si="5"/>
        <v>2718231313.5599999</v>
      </c>
      <c r="I32" s="253">
        <f>I28*5</f>
        <v>2977003750</v>
      </c>
      <c r="J32" s="249">
        <f t="shared" si="8"/>
        <v>-258772436.44000006</v>
      </c>
      <c r="K32" s="272">
        <f>J32/I40</f>
        <v>-3.6218244104216091E-2</v>
      </c>
    </row>
    <row r="33" spans="1:13" ht="15" customHeight="1" x14ac:dyDescent="0.2">
      <c r="A33" s="269" t="s">
        <v>12</v>
      </c>
      <c r="B33" s="270">
        <f>127269360.92+B32</f>
        <v>534700852.94</v>
      </c>
      <c r="C33" s="253">
        <f>C28*6</f>
        <v>625661500</v>
      </c>
      <c r="D33" s="249">
        <f t="shared" si="6"/>
        <v>-90960647.060000002</v>
      </c>
      <c r="E33" s="271">
        <f>191180105.33+16103883.71+E32</f>
        <v>1722089280.5899999</v>
      </c>
      <c r="F33" s="253">
        <f>F28*6</f>
        <v>1877305500</v>
      </c>
      <c r="G33" s="249">
        <f t="shared" si="7"/>
        <v>-155216219.41000009</v>
      </c>
      <c r="H33" s="255">
        <f t="shared" si="5"/>
        <v>3186259167.8499999</v>
      </c>
      <c r="I33" s="253">
        <f>I28*6</f>
        <v>3572404500</v>
      </c>
      <c r="J33" s="249">
        <f t="shared" si="8"/>
        <v>-386145332.1500001</v>
      </c>
      <c r="K33" s="272">
        <f>J33/I40</f>
        <v>-5.4045578006353998E-2</v>
      </c>
    </row>
    <row r="34" spans="1:13" ht="15" customHeight="1" x14ac:dyDescent="0.2">
      <c r="A34" s="269" t="s">
        <v>13</v>
      </c>
      <c r="B34" s="273">
        <f>160847332.64+72528052.07+B33</f>
        <v>768076237.64999998</v>
      </c>
      <c r="C34" s="253">
        <f>C28*7</f>
        <v>729938416.66666675</v>
      </c>
      <c r="D34" s="249">
        <f t="shared" si="6"/>
        <v>38137820.98333323</v>
      </c>
      <c r="E34" s="271">
        <f>269500803.33+26944160.71+E33</f>
        <v>2018534244.6299999</v>
      </c>
      <c r="F34" s="253">
        <f>F28*7</f>
        <v>2190189750</v>
      </c>
      <c r="G34" s="249">
        <f t="shared" si="7"/>
        <v>-171655505.37000012</v>
      </c>
      <c r="H34" s="255">
        <f t="shared" si="5"/>
        <v>3907380904.0100002</v>
      </c>
      <c r="I34" s="253">
        <f>I28*7</f>
        <v>4167805250</v>
      </c>
      <c r="J34" s="249">
        <f t="shared" si="8"/>
        <v>-260424345.98999977</v>
      </c>
      <c r="K34" s="272">
        <f>J34/I40</f>
        <v>-3.6449448262367797E-2</v>
      </c>
    </row>
    <row r="35" spans="1:13" ht="15" customHeight="1" x14ac:dyDescent="0.2">
      <c r="A35" s="269" t="s">
        <v>14</v>
      </c>
      <c r="B35" s="270">
        <f t="shared" si="9"/>
        <v>768076237.64999998</v>
      </c>
      <c r="C35" s="253">
        <f>C28*8</f>
        <v>834215333.33333337</v>
      </c>
      <c r="D35" s="249">
        <f t="shared" si="6"/>
        <v>-66139095.683333397</v>
      </c>
      <c r="E35" s="271">
        <f>385848699.3+20051512.81+E34</f>
        <v>2424434456.7399998</v>
      </c>
      <c r="F35" s="253">
        <f>F28*8</f>
        <v>2503074000</v>
      </c>
      <c r="G35" s="249">
        <f t="shared" si="7"/>
        <v>-78639543.260000229</v>
      </c>
      <c r="H35" s="255">
        <f t="shared" si="5"/>
        <v>4511003132.8999996</v>
      </c>
      <c r="I35" s="253">
        <f>I28*8</f>
        <v>4763206000</v>
      </c>
      <c r="J35" s="249">
        <f t="shared" si="8"/>
        <v>-252202867.10000038</v>
      </c>
      <c r="K35" s="272">
        <f>J35/I40</f>
        <v>-3.5298755656029489E-2</v>
      </c>
    </row>
    <row r="36" spans="1:13" ht="15" customHeight="1" x14ac:dyDescent="0.2">
      <c r="A36" s="269" t="s">
        <v>15</v>
      </c>
      <c r="B36" s="273">
        <f>251701214.8+B35</f>
        <v>1019777452.45</v>
      </c>
      <c r="C36" s="253">
        <f>C28*9</f>
        <v>938492250</v>
      </c>
      <c r="D36" s="249">
        <f t="shared" si="6"/>
        <v>81285202.450000048</v>
      </c>
      <c r="E36" s="271">
        <f>287264617.94+E35</f>
        <v>2711699074.6799998</v>
      </c>
      <c r="F36" s="253">
        <f>F28*9</f>
        <v>2815958250</v>
      </c>
      <c r="G36" s="249">
        <f t="shared" si="7"/>
        <v>-104259175.32000017</v>
      </c>
      <c r="H36" s="255">
        <f t="shared" si="5"/>
        <v>5241886669.6399994</v>
      </c>
      <c r="I36" s="253">
        <f>I28*9</f>
        <v>5358606750</v>
      </c>
      <c r="J36" s="249">
        <f t="shared" si="8"/>
        <v>-116720080.36000061</v>
      </c>
      <c r="K36" s="272">
        <f>J36/I40</f>
        <v>-1.6336347180169634E-2</v>
      </c>
    </row>
    <row r="37" spans="1:13" ht="15" customHeight="1" x14ac:dyDescent="0.2">
      <c r="A37" s="269" t="s">
        <v>16</v>
      </c>
      <c r="B37" s="270">
        <f>43743169.66+15406228.28+B36</f>
        <v>1078926850.3900001</v>
      </c>
      <c r="C37" s="253">
        <f>C28*10</f>
        <v>1042769166.6666667</v>
      </c>
      <c r="D37" s="249">
        <f t="shared" si="6"/>
        <v>36157683.723333359</v>
      </c>
      <c r="E37" s="271">
        <f>264290535.88+28212249.75+E36</f>
        <v>3004201860.3099999</v>
      </c>
      <c r="F37" s="253">
        <f>F28*10</f>
        <v>3128842500</v>
      </c>
      <c r="G37" s="249">
        <f>E37-F37</f>
        <v>-124640639.69000006</v>
      </c>
      <c r="H37" s="255">
        <f t="shared" si="5"/>
        <v>5795205785.1599998</v>
      </c>
      <c r="I37" s="253">
        <f>I28*10</f>
        <v>5954007500</v>
      </c>
      <c r="J37" s="249">
        <f t="shared" si="8"/>
        <v>-158801714.84000015</v>
      </c>
      <c r="K37" s="272">
        <f>J37/I40</f>
        <v>-2.2226166555327113E-2</v>
      </c>
    </row>
    <row r="38" spans="1:13" ht="15" customHeight="1" x14ac:dyDescent="0.2">
      <c r="A38" s="269" t="s">
        <v>17</v>
      </c>
      <c r="B38" s="270">
        <f>11824039.05+2795828.95+B37</f>
        <v>1093546718.3900001</v>
      </c>
      <c r="C38" s="253">
        <f>C28*11</f>
        <v>1147046083.3333335</v>
      </c>
      <c r="D38" s="249">
        <f t="shared" si="6"/>
        <v>-53499364.943333387</v>
      </c>
      <c r="E38" s="271">
        <f>404452030.97+22983403.81+E37</f>
        <v>3431637295.0900002</v>
      </c>
      <c r="F38" s="253">
        <f>F28*11</f>
        <v>3441726750</v>
      </c>
      <c r="G38" s="249">
        <f t="shared" si="7"/>
        <v>-10089454.909999847</v>
      </c>
      <c r="H38" s="255">
        <f t="shared" si="5"/>
        <v>6435707469.46</v>
      </c>
      <c r="I38" s="253">
        <f>I28*11</f>
        <v>6549408250</v>
      </c>
      <c r="J38" s="249">
        <f t="shared" si="8"/>
        <v>-113700780.53999996</v>
      </c>
      <c r="K38" s="272">
        <f>J38/I40</f>
        <v>-1.5913760681356207E-2</v>
      </c>
    </row>
    <row r="39" spans="1:13" ht="15" customHeight="1" thickBot="1" x14ac:dyDescent="0.25">
      <c r="A39" s="340" t="s">
        <v>18</v>
      </c>
      <c r="B39" s="335">
        <f>4898458.8+275877417.97+B38</f>
        <v>1374322595.1600001</v>
      </c>
      <c r="C39" s="332">
        <f>C28*12</f>
        <v>1251323000</v>
      </c>
      <c r="D39" s="410">
        <f t="shared" si="6"/>
        <v>122999595.16000009</v>
      </c>
      <c r="E39" s="271">
        <f>311245724.81+27602079.37+E38</f>
        <v>3770485099.27</v>
      </c>
      <c r="F39" s="332">
        <f>F28*12</f>
        <v>3754611000</v>
      </c>
      <c r="G39" s="249">
        <f t="shared" si="7"/>
        <v>15874099.269999981</v>
      </c>
      <c r="H39" s="275">
        <f t="shared" si="5"/>
        <v>7295949432.6299992</v>
      </c>
      <c r="I39" s="338">
        <f>I28*12</f>
        <v>7144809000</v>
      </c>
      <c r="J39" s="411">
        <f t="shared" si="8"/>
        <v>151140432.62999916</v>
      </c>
      <c r="K39" s="272">
        <f>J39/I40</f>
        <v>2.1153880058934978E-2</v>
      </c>
    </row>
    <row r="40" spans="1:13" ht="15" customHeight="1" thickBot="1" x14ac:dyDescent="0.25">
      <c r="A40" s="257" t="s">
        <v>19</v>
      </c>
      <c r="B40" s="347">
        <f>B39</f>
        <v>1374322595.1600001</v>
      </c>
      <c r="C40" s="276">
        <f>1712499000-470000000+8824000</f>
        <v>1251323000</v>
      </c>
      <c r="D40" s="277"/>
      <c r="E40" s="345">
        <f>E39</f>
        <v>3770485099.27</v>
      </c>
      <c r="F40" s="258">
        <f>4104611000-350000000</f>
        <v>3754611000</v>
      </c>
      <c r="G40" s="278"/>
      <c r="H40" s="351">
        <f t="shared" si="5"/>
        <v>7295949432.6299992</v>
      </c>
      <c r="I40" s="279">
        <f>C20+F20+I20+L20+C40+F40</f>
        <v>7144809000</v>
      </c>
      <c r="J40" s="280"/>
      <c r="K40" s="350"/>
    </row>
    <row r="41" spans="1:13" x14ac:dyDescent="0.2">
      <c r="A41" s="659" t="s">
        <v>134</v>
      </c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K26:K27"/>
    <mergeCell ref="A42:M42"/>
    <mergeCell ref="E26:E27"/>
    <mergeCell ref="F26:F27"/>
    <mergeCell ref="G26:G27"/>
    <mergeCell ref="H26:H27"/>
    <mergeCell ref="I26:I27"/>
    <mergeCell ref="J26:J27"/>
    <mergeCell ref="A24:A27"/>
    <mergeCell ref="B24:D25"/>
    <mergeCell ref="E24:G25"/>
    <mergeCell ref="H24:J25"/>
    <mergeCell ref="B26:B27"/>
    <mergeCell ref="A41:K41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F6:F7"/>
    <mergeCell ref="G6:G7"/>
    <mergeCell ref="E6:E7"/>
    <mergeCell ref="I6:I7"/>
    <mergeCell ref="J6:J7"/>
    <mergeCell ref="C26:C27"/>
    <mergeCell ref="D26:D27"/>
    <mergeCell ref="H6:H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1"/>
    <pageSetUpPr fitToPage="1"/>
  </sheetPr>
  <dimension ref="A1:S72"/>
  <sheetViews>
    <sheetView showGridLines="0" zoomScale="130" zoomScaleNormal="130" zoomScaleSheetLayoutView="100" workbookViewId="0">
      <selection activeCell="B51" sqref="B5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8.5" x14ac:dyDescent="0.45">
      <c r="A1" s="57"/>
      <c r="B1" s="656" t="s">
        <v>126</v>
      </c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7"/>
      <c r="S1" s="657"/>
    </row>
    <row r="2" spans="1:19" ht="20.25" x14ac:dyDescent="0.3">
      <c r="B2" s="587" t="s">
        <v>133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92"/>
      <c r="P2" s="592"/>
      <c r="Q2" s="592"/>
      <c r="R2" s="592"/>
      <c r="S2" s="592"/>
    </row>
    <row r="3" spans="1:19" ht="12.75" customHeight="1" x14ac:dyDescent="0.25">
      <c r="A3" s="59"/>
    </row>
    <row r="4" spans="1:19" ht="12.75" customHeight="1" x14ac:dyDescent="0.2"/>
    <row r="39" spans="11:19" x14ac:dyDescent="0.2">
      <c r="K39" s="60"/>
    </row>
    <row r="40" spans="11:19" x14ac:dyDescent="0.2">
      <c r="K40" s="60"/>
    </row>
    <row r="45" spans="1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1:19" x14ac:dyDescent="0.2">
      <c r="L46" s="62"/>
      <c r="M46" s="62"/>
      <c r="N46" s="62"/>
      <c r="O46" s="62"/>
      <c r="P46" s="62"/>
      <c r="Q46" s="62"/>
      <c r="R46" s="62"/>
      <c r="S46" s="62"/>
    </row>
    <row r="47" spans="11:19" x14ac:dyDescent="0.2">
      <c r="L47" s="62"/>
      <c r="M47" s="62"/>
      <c r="N47" s="62"/>
      <c r="O47" s="62"/>
      <c r="P47" s="62"/>
      <c r="Q47" s="62"/>
      <c r="R47" s="62"/>
      <c r="S47" s="62"/>
    </row>
    <row r="48" spans="11:19" x14ac:dyDescent="0.2">
      <c r="K48" s="61" t="s">
        <v>35</v>
      </c>
      <c r="L48" s="62"/>
      <c r="M48" s="62"/>
      <c r="N48" s="62"/>
      <c r="O48" s="62"/>
      <c r="P48" s="62"/>
      <c r="Q48" s="62"/>
      <c r="R48" s="62"/>
      <c r="S48" s="62"/>
    </row>
    <row r="49" spans="1:19" ht="28.5" x14ac:dyDescent="0.45">
      <c r="A49" s="57"/>
      <c r="B49" s="656" t="s">
        <v>127</v>
      </c>
      <c r="C49" s="657"/>
      <c r="D49" s="657"/>
      <c r="E49" s="657"/>
      <c r="F49" s="657"/>
      <c r="G49" s="657"/>
      <c r="H49" s="657"/>
      <c r="I49" s="657"/>
      <c r="J49" s="657"/>
      <c r="K49" s="657"/>
      <c r="L49" s="657"/>
      <c r="M49" s="657"/>
      <c r="N49" s="657"/>
      <c r="O49" s="657"/>
      <c r="P49" s="657"/>
      <c r="Q49" s="657"/>
      <c r="R49" s="657"/>
      <c r="S49" s="657"/>
    </row>
    <row r="50" spans="1:19" ht="20.25" x14ac:dyDescent="0.3">
      <c r="B50" s="587" t="s">
        <v>133</v>
      </c>
      <c r="C50" s="586"/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92"/>
      <c r="P50" s="592"/>
      <c r="Q50" s="592"/>
      <c r="R50" s="592"/>
      <c r="S50" s="592"/>
    </row>
    <row r="51" spans="1:19" ht="12.75" customHeight="1" x14ac:dyDescent="0.2"/>
    <row r="72" spans="11:19" x14ac:dyDescent="0.2">
      <c r="K72" s="632"/>
      <c r="L72" s="633"/>
      <c r="M72" s="633"/>
      <c r="N72" s="633"/>
      <c r="O72" s="633"/>
      <c r="P72" s="633"/>
      <c r="Q72" s="633"/>
      <c r="R72" s="633"/>
      <c r="S72" s="633"/>
    </row>
  </sheetData>
  <mergeCells count="5">
    <mergeCell ref="B1:S1"/>
    <mergeCell ref="B2:S2"/>
    <mergeCell ref="B49:S49"/>
    <mergeCell ref="B50:S50"/>
    <mergeCell ref="K72:S72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7" fitToHeight="0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1"/>
    <pageSetUpPr fitToPage="1"/>
  </sheetPr>
  <dimension ref="A1:S42"/>
  <sheetViews>
    <sheetView showGridLines="0" zoomScale="145" zoomScaleNormal="145" workbookViewId="0">
      <pane xSplit="1" topLeftCell="B1" activePane="topRight" state="frozen"/>
      <selection activeCell="A4" sqref="A4"/>
      <selection pane="topRight" activeCell="A3" sqref="A3:XFD3"/>
    </sheetView>
  </sheetViews>
  <sheetFormatPr defaultColWidth="9.140625" defaultRowHeight="12.75" x14ac:dyDescent="0.2"/>
  <cols>
    <col min="1" max="1" width="8.7109375" style="66" customWidth="1"/>
    <col min="2" max="4" width="11.7109375" style="66" customWidth="1"/>
    <col min="5" max="5" width="12.7109375" style="212" customWidth="1"/>
    <col min="6" max="8" width="11.7109375" style="66" customWidth="1"/>
    <col min="9" max="9" width="12.7109375" style="212" customWidth="1"/>
    <col min="10" max="12" width="11.7109375" style="66" customWidth="1"/>
    <col min="13" max="13" width="12.7109375" style="212" customWidth="1"/>
    <col min="14" max="16" width="11.7109375" style="66" customWidth="1"/>
    <col min="17" max="17" width="12.7109375" style="212" customWidth="1"/>
    <col min="18" max="18" width="9.7109375" style="66" customWidth="1"/>
    <col min="19" max="19" width="12.42578125" style="66" customWidth="1"/>
    <col min="20" max="21" width="9.7109375" style="66" customWidth="1"/>
    <col min="22" max="22" width="11" style="66" customWidth="1"/>
    <col min="23" max="16384" width="9.140625" style="66"/>
  </cols>
  <sheetData>
    <row r="1" spans="1:19" ht="20.25" x14ac:dyDescent="0.3">
      <c r="A1" s="585" t="s">
        <v>128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</row>
    <row r="2" spans="1:19" ht="20.25" x14ac:dyDescent="0.3">
      <c r="A2" s="587" t="s">
        <v>65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</row>
    <row r="3" spans="1:19" ht="13.5" customHeight="1" x14ac:dyDescent="0.2">
      <c r="A3" s="666" t="s">
        <v>132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</row>
    <row r="4" spans="1:19" ht="13.5" customHeight="1" thickBot="1" x14ac:dyDescent="0.25">
      <c r="B4" s="67"/>
      <c r="C4" s="68"/>
      <c r="D4" s="68"/>
      <c r="E4" s="203"/>
      <c r="F4" s="69"/>
      <c r="G4" s="69"/>
      <c r="H4" s="71"/>
      <c r="I4" s="204"/>
      <c r="J4" s="70"/>
      <c r="K4" s="70"/>
      <c r="L4" s="71"/>
      <c r="M4" s="204"/>
      <c r="N4" s="71"/>
      <c r="O4" s="71"/>
      <c r="P4" s="72"/>
      <c r="Q4" s="381" t="s">
        <v>59</v>
      </c>
    </row>
    <row r="5" spans="1:19" ht="13.5" customHeight="1" x14ac:dyDescent="0.2">
      <c r="A5" s="660" t="s">
        <v>2</v>
      </c>
      <c r="B5" s="668" t="s">
        <v>101</v>
      </c>
      <c r="C5" s="668"/>
      <c r="D5" s="668"/>
      <c r="E5" s="669"/>
      <c r="F5" s="589" t="s">
        <v>102</v>
      </c>
      <c r="G5" s="672"/>
      <c r="H5" s="672"/>
      <c r="I5" s="673"/>
      <c r="J5" s="675" t="s">
        <v>130</v>
      </c>
      <c r="K5" s="676"/>
      <c r="L5" s="676"/>
      <c r="M5" s="677"/>
      <c r="N5" s="678" t="s">
        <v>103</v>
      </c>
      <c r="O5" s="640"/>
      <c r="P5" s="640"/>
      <c r="Q5" s="641"/>
    </row>
    <row r="6" spans="1:19" ht="13.5" customHeight="1" thickBot="1" x14ac:dyDescent="0.25">
      <c r="A6" s="661"/>
      <c r="B6" s="670"/>
      <c r="C6" s="670"/>
      <c r="D6" s="670"/>
      <c r="E6" s="671"/>
      <c r="F6" s="674"/>
      <c r="G6" s="670"/>
      <c r="H6" s="670"/>
      <c r="I6" s="671"/>
      <c r="J6" s="674"/>
      <c r="K6" s="670"/>
      <c r="L6" s="670"/>
      <c r="M6" s="671"/>
      <c r="N6" s="642"/>
      <c r="O6" s="643"/>
      <c r="P6" s="643"/>
      <c r="Q6" s="644"/>
    </row>
    <row r="7" spans="1:19" ht="13.5" customHeight="1" x14ac:dyDescent="0.2">
      <c r="A7" s="661"/>
      <c r="B7" s="206"/>
      <c r="C7" s="206"/>
      <c r="D7" s="207"/>
      <c r="E7" s="382" t="s">
        <v>129</v>
      </c>
      <c r="F7" s="208"/>
      <c r="G7" s="206"/>
      <c r="H7" s="207"/>
      <c r="I7" s="382" t="s">
        <v>129</v>
      </c>
      <c r="J7" s="209"/>
      <c r="K7" s="209"/>
      <c r="L7" s="207"/>
      <c r="M7" s="382" t="s">
        <v>129</v>
      </c>
      <c r="N7" s="206"/>
      <c r="O7" s="206"/>
      <c r="P7" s="207"/>
      <c r="Q7" s="382" t="s">
        <v>129</v>
      </c>
    </row>
    <row r="8" spans="1:19" ht="13.5" customHeight="1" thickBot="1" x14ac:dyDescent="0.25">
      <c r="A8" s="662"/>
      <c r="B8" s="210" t="s">
        <v>85</v>
      </c>
      <c r="C8" s="210" t="s">
        <v>104</v>
      </c>
      <c r="D8" s="211" t="s">
        <v>115</v>
      </c>
      <c r="E8" s="384"/>
      <c r="F8" s="210" t="s">
        <v>85</v>
      </c>
      <c r="G8" s="210" t="s">
        <v>104</v>
      </c>
      <c r="H8" s="211" t="s">
        <v>115</v>
      </c>
      <c r="I8" s="384"/>
      <c r="J8" s="210" t="s">
        <v>85</v>
      </c>
      <c r="K8" s="210" t="s">
        <v>104</v>
      </c>
      <c r="L8" s="211" t="s">
        <v>115</v>
      </c>
      <c r="M8" s="384"/>
      <c r="N8" s="210" t="s">
        <v>85</v>
      </c>
      <c r="O8" s="210" t="s">
        <v>104</v>
      </c>
      <c r="P8" s="211" t="s">
        <v>115</v>
      </c>
      <c r="Q8" s="384"/>
    </row>
    <row r="9" spans="1:19" ht="15.95" customHeight="1" x14ac:dyDescent="0.2">
      <c r="A9" s="386" t="s">
        <v>7</v>
      </c>
      <c r="B9" s="387">
        <f>55117676.21+76110643.91</f>
        <v>131228320.12</v>
      </c>
      <c r="C9" s="387">
        <v>151081324.05000001</v>
      </c>
      <c r="D9" s="387">
        <f>71605997.24+101329266.98</f>
        <v>172935264.22</v>
      </c>
      <c r="E9" s="388">
        <f>69734555.11+113302944.22</f>
        <v>183037499.32999998</v>
      </c>
      <c r="F9" s="389">
        <f>3687603.08+5092775.77</f>
        <v>8780378.8499999996</v>
      </c>
      <c r="G9" s="389">
        <v>10349353.879999999</v>
      </c>
      <c r="H9" s="387">
        <f>4894422.38+6926071.15</f>
        <v>11820493.530000001</v>
      </c>
      <c r="I9" s="388">
        <f>4759785.02+7733578.5</f>
        <v>12493363.52</v>
      </c>
      <c r="J9" s="387">
        <f>3160549.16+679291.39+14680684.86</f>
        <v>18520525.41</v>
      </c>
      <c r="K9" s="387">
        <v>3687417</v>
      </c>
      <c r="L9" s="387">
        <f>3968369.06+830945.06</f>
        <v>4799314.12</v>
      </c>
      <c r="M9" s="388">
        <f>2693640.33+826716.63</f>
        <v>3520356.96</v>
      </c>
      <c r="N9" s="387">
        <f>7004657.94+4280967.32</f>
        <v>11285625.260000002</v>
      </c>
      <c r="O9" s="387">
        <v>10395611.68</v>
      </c>
      <c r="P9" s="387">
        <f>8822763.75+4916547.55</f>
        <v>13739311.300000001</v>
      </c>
      <c r="Q9" s="388">
        <f>8448986.63+6146806.78</f>
        <v>14595793.41</v>
      </c>
      <c r="S9" s="212"/>
    </row>
    <row r="10" spans="1:19" ht="15.95" customHeight="1" x14ac:dyDescent="0.2">
      <c r="A10" s="390" t="s">
        <v>8</v>
      </c>
      <c r="B10" s="391">
        <f>61023307.32+72092279.03</f>
        <v>133115586.34999999</v>
      </c>
      <c r="C10" s="391">
        <v>147933278.06999999</v>
      </c>
      <c r="D10" s="391">
        <f>65744580.69+96997598.06</f>
        <v>162742178.75</v>
      </c>
      <c r="E10" s="392">
        <f>71009985.6+98205466.92</f>
        <v>169215452.51999998</v>
      </c>
      <c r="F10" s="391">
        <f>4082714.46+4823274.99</f>
        <v>8905989.4499999993</v>
      </c>
      <c r="G10" s="391">
        <v>10170358.280000001</v>
      </c>
      <c r="H10" s="391">
        <f>4493782.07+6629992.4</f>
        <v>11123774.470000001</v>
      </c>
      <c r="I10" s="392">
        <f>4846840.53+6703088.79</f>
        <v>11549929.32</v>
      </c>
      <c r="J10" s="391">
        <f>695505.98+1023431.07</f>
        <v>1718937.0499999998</v>
      </c>
      <c r="K10" s="391">
        <v>1875448.48</v>
      </c>
      <c r="L10" s="391">
        <f>1398316.3+1175936.36</f>
        <v>2574252.66</v>
      </c>
      <c r="M10" s="392">
        <f>1125970.31+1304679.01</f>
        <v>2430649.3200000003</v>
      </c>
      <c r="N10" s="391">
        <f>11221810.48+3275198.7</f>
        <v>14497009.18</v>
      </c>
      <c r="O10" s="391">
        <v>15281464.699999999</v>
      </c>
      <c r="P10" s="391">
        <f>11423499.74+4384097.03</f>
        <v>15807596.77</v>
      </c>
      <c r="Q10" s="392">
        <f>12097721.18+5036161.68</f>
        <v>17133882.859999999</v>
      </c>
    </row>
    <row r="11" spans="1:19" ht="15.95" customHeight="1" x14ac:dyDescent="0.2">
      <c r="A11" s="390" t="s">
        <v>9</v>
      </c>
      <c r="B11" s="391">
        <f>46789518.35+60805695.94</f>
        <v>107595214.28999999</v>
      </c>
      <c r="C11" s="391">
        <v>122404952.69</v>
      </c>
      <c r="D11" s="391">
        <f>56455013.72+80995880.15</f>
        <v>137450893.87</v>
      </c>
      <c r="E11" s="392">
        <f>67545867.14+88238616.3</f>
        <v>155784483.44</v>
      </c>
      <c r="F11" s="391">
        <f>3130414.46+4070582.58</f>
        <v>7200997.04</v>
      </c>
      <c r="G11" s="391">
        <v>8415295.3399999999</v>
      </c>
      <c r="H11" s="391">
        <f>3858820.38+5536240.88</f>
        <v>9395061.2599999998</v>
      </c>
      <c r="I11" s="392">
        <f>4610394.46+6022793.84</f>
        <v>10633188.300000001</v>
      </c>
      <c r="J11" s="391">
        <f>1775601.55+2488482.18</f>
        <v>4264083.7300000004</v>
      </c>
      <c r="K11" s="391">
        <v>5404523.2699999996</v>
      </c>
      <c r="L11" s="391">
        <f>2281145.83+3267947.7</f>
        <v>5549093.5300000003</v>
      </c>
      <c r="M11" s="392">
        <f>2600098.32+4687130.64</f>
        <v>7287228.959999999</v>
      </c>
      <c r="N11" s="391">
        <f>4160334.62+3591217.82</f>
        <v>7751552.4399999995</v>
      </c>
      <c r="O11" s="391">
        <v>8558006.4400000013</v>
      </c>
      <c r="P11" s="391">
        <f>4322578.77+5483337.8</f>
        <v>9805916.5700000003</v>
      </c>
      <c r="Q11" s="392">
        <f>6045541.62+5760312.61</f>
        <v>11805854.23</v>
      </c>
    </row>
    <row r="12" spans="1:19" ht="15.95" customHeight="1" x14ac:dyDescent="0.2">
      <c r="A12" s="390" t="s">
        <v>10</v>
      </c>
      <c r="B12" s="391">
        <f>38598074.26+56255993.61</f>
        <v>94854067.870000005</v>
      </c>
      <c r="C12" s="391">
        <v>103188106.55</v>
      </c>
      <c r="D12" s="391">
        <f>48070126.83+77156595.18</f>
        <v>125226722.01000001</v>
      </c>
      <c r="E12" s="392">
        <f>50647804.01+78452173.52</f>
        <v>129099977.53</v>
      </c>
      <c r="F12" s="391">
        <f>2582372.61+3763761.25</f>
        <v>6346133.8599999994</v>
      </c>
      <c r="G12" s="391">
        <v>7094144.2599999998</v>
      </c>
      <c r="H12" s="391">
        <f>3285695.53+5273817.57</f>
        <v>8559513.0999999996</v>
      </c>
      <c r="I12" s="392">
        <f>3457004.32+5354812.74</f>
        <v>8811817.0600000005</v>
      </c>
      <c r="J12" s="391">
        <v>0</v>
      </c>
      <c r="K12" s="391">
        <v>0</v>
      </c>
      <c r="L12" s="391">
        <v>0</v>
      </c>
      <c r="M12" s="392">
        <v>0</v>
      </c>
      <c r="N12" s="391">
        <f>4714701+4257486.26</f>
        <v>8972187.2599999998</v>
      </c>
      <c r="O12" s="391">
        <v>10192119.27</v>
      </c>
      <c r="P12" s="391">
        <f>5426080.32+6110250.12</f>
        <v>11536330.440000001</v>
      </c>
      <c r="Q12" s="392">
        <f>6169055.69+5186277.16</f>
        <v>11355332.850000001</v>
      </c>
    </row>
    <row r="13" spans="1:19" ht="15.95" customHeight="1" x14ac:dyDescent="0.2">
      <c r="A13" s="390" t="s">
        <v>11</v>
      </c>
      <c r="B13" s="391">
        <f>39275881.04+77943820.28</f>
        <v>117219701.31999999</v>
      </c>
      <c r="C13" s="391">
        <v>136572507.46000001</v>
      </c>
      <c r="D13" s="391">
        <f>48146073.65+104949191.77</f>
        <v>153095265.41999999</v>
      </c>
      <c r="E13" s="392">
        <f>32351760.94</f>
        <v>32351760.940000001</v>
      </c>
      <c r="F13" s="391">
        <f>2627720.75+5214767.58</f>
        <v>7842488.3300000001</v>
      </c>
      <c r="G13" s="391">
        <v>9389309.4700000007</v>
      </c>
      <c r="H13" s="391">
        <f>3290886.64+7173500.72</f>
        <v>10464387.359999999</v>
      </c>
      <c r="I13" s="392">
        <f>2208194.03</f>
        <v>2208194.0299999998</v>
      </c>
      <c r="J13" s="391">
        <v>0</v>
      </c>
      <c r="K13" s="391">
        <v>0</v>
      </c>
      <c r="L13" s="391">
        <v>0</v>
      </c>
      <c r="M13" s="392">
        <v>0</v>
      </c>
      <c r="N13" s="391">
        <f>5793435.12+4558000.19</f>
        <v>10351435.310000001</v>
      </c>
      <c r="O13" s="391">
        <v>12071760.120000001</v>
      </c>
      <c r="P13" s="391">
        <f>7594227.23+5756348.65</f>
        <v>13350575.880000001</v>
      </c>
      <c r="Q13" s="392">
        <f>7478104.68+5201660.73</f>
        <v>12679765.41</v>
      </c>
    </row>
    <row r="14" spans="1:19" ht="15.95" customHeight="1" x14ac:dyDescent="0.2">
      <c r="A14" s="390" t="s">
        <v>12</v>
      </c>
      <c r="B14" s="391">
        <f>55210692.85+83874911</f>
        <v>139085603.84999999</v>
      </c>
      <c r="C14" s="391">
        <v>157745875.93000001</v>
      </c>
      <c r="D14" s="391">
        <f>66523906.41+102548362.59</f>
        <v>169072269</v>
      </c>
      <c r="E14" s="392">
        <f>33812639.88+77495839.22</f>
        <v>111308479.09999999</v>
      </c>
      <c r="F14" s="391">
        <f>3693826.27+5611582.35</f>
        <v>9305408.6199999992</v>
      </c>
      <c r="G14" s="391">
        <v>10844970.76</v>
      </c>
      <c r="H14" s="391">
        <f>4547050.68+7009398.94</f>
        <v>11556449.620000001</v>
      </c>
      <c r="I14" s="392">
        <f>2307907.43+5289537.39</f>
        <v>7597444.8200000003</v>
      </c>
      <c r="J14" s="391">
        <v>0</v>
      </c>
      <c r="K14" s="391">
        <v>0</v>
      </c>
      <c r="L14" s="391">
        <v>0</v>
      </c>
      <c r="M14" s="392">
        <v>0</v>
      </c>
      <c r="N14" s="391">
        <f>7263683.28+5602984.58</f>
        <v>12866667.859999999</v>
      </c>
      <c r="O14" s="391">
        <v>14132394.699999999</v>
      </c>
      <c r="P14" s="391">
        <f>9124545.13+6651990.17</f>
        <v>15776535.300000001</v>
      </c>
      <c r="Q14" s="392">
        <f>7408719.64+7159860.77</f>
        <v>14568580.41</v>
      </c>
    </row>
    <row r="15" spans="1:19" ht="15.95" customHeight="1" x14ac:dyDescent="0.2">
      <c r="A15" s="378" t="s">
        <v>13</v>
      </c>
      <c r="B15" s="391">
        <f>53312297.79+81830419.86</f>
        <v>135142717.65000001</v>
      </c>
      <c r="C15" s="391">
        <v>146265834.93000001</v>
      </c>
      <c r="D15" s="391">
        <f>69530573.25+104924651.98</f>
        <v>174455225.23000002</v>
      </c>
      <c r="E15" s="392">
        <f>57142149.96+105911996.76</f>
        <v>163054146.72</v>
      </c>
      <c r="F15" s="391">
        <f>3566815.71+5474797.34</f>
        <v>9041613.0500000007</v>
      </c>
      <c r="G15" s="391">
        <v>10055722.18</v>
      </c>
      <c r="H15" s="391">
        <f>4752562.7+7171823.42</f>
        <v>11924386.120000001</v>
      </c>
      <c r="I15" s="392">
        <f>3900280.88+7229103.81</f>
        <v>11129384.689999999</v>
      </c>
      <c r="J15" s="391">
        <f>827738.47+6406320.74</f>
        <v>7234059.21</v>
      </c>
      <c r="K15" s="391">
        <v>3331865.59</v>
      </c>
      <c r="L15" s="391">
        <f>1953079.43+8948708.87</f>
        <v>10901788.299999999</v>
      </c>
      <c r="M15" s="392">
        <v>0</v>
      </c>
      <c r="N15" s="391">
        <f>9127660.59+5360558.05</f>
        <v>14488218.640000001</v>
      </c>
      <c r="O15" s="391">
        <v>17481230.129999999</v>
      </c>
      <c r="P15" s="391">
        <f>10140215.57+9799690.18</f>
        <v>19939905.75</v>
      </c>
      <c r="Q15" s="392">
        <f>9453571.24+7664284.76</f>
        <v>17117856</v>
      </c>
    </row>
    <row r="16" spans="1:19" ht="15.95" customHeight="1" x14ac:dyDescent="0.2">
      <c r="A16" s="378" t="s">
        <v>14</v>
      </c>
      <c r="B16" s="391">
        <f>55345403.31+82328192.78</f>
        <v>137673596.09</v>
      </c>
      <c r="C16" s="391">
        <v>161021818.90000001</v>
      </c>
      <c r="D16" s="391">
        <f>64004109.34+107536136.6</f>
        <v>171540245.94</v>
      </c>
      <c r="E16" s="392">
        <f>62657901.71+106392362.74</f>
        <v>169050264.44999999</v>
      </c>
      <c r="F16" s="391">
        <f>3702838.98+5508100.45</f>
        <v>9210939.4299999997</v>
      </c>
      <c r="G16" s="391">
        <v>11070190.629999999</v>
      </c>
      <c r="H16" s="391">
        <f>4374817.14+7350323.91</f>
        <v>11725141.050000001</v>
      </c>
      <c r="I16" s="392">
        <f>4276762.7+7261891.58</f>
        <v>11538654.280000001</v>
      </c>
      <c r="J16" s="391">
        <v>0</v>
      </c>
      <c r="K16" s="391">
        <v>0</v>
      </c>
      <c r="L16" s="391">
        <v>0</v>
      </c>
      <c r="M16" s="392">
        <v>0</v>
      </c>
      <c r="N16" s="391">
        <f>9757581.25+5116818.83</f>
        <v>14874400.08</v>
      </c>
      <c r="O16" s="391">
        <v>18007954.699999999</v>
      </c>
      <c r="P16" s="391">
        <f>12186199.55+6377427.62</f>
        <v>18563627.170000002</v>
      </c>
      <c r="Q16" s="392">
        <f>11289826.34+5843271.71</f>
        <v>17133098.050000001</v>
      </c>
    </row>
    <row r="17" spans="1:17" ht="15.95" customHeight="1" x14ac:dyDescent="0.2">
      <c r="A17" s="390" t="s">
        <v>15</v>
      </c>
      <c r="B17" s="391">
        <f>51717304.36+75028043.9</f>
        <v>126745348.26000001</v>
      </c>
      <c r="C17" s="391">
        <v>135493331.57999998</v>
      </c>
      <c r="D17" s="391">
        <f>62103545.61+78822821.95</f>
        <v>140926367.56</v>
      </c>
      <c r="E17" s="392">
        <f>69874432.7+91357133.03</f>
        <v>161231565.73000002</v>
      </c>
      <c r="F17" s="391">
        <f>3460103.98+6322715.54</f>
        <v>9782819.5199999996</v>
      </c>
      <c r="G17" s="391">
        <v>8837395.4499999993</v>
      </c>
      <c r="H17" s="391">
        <f>4244909.58+5258973.73</f>
        <v>9503883.3100000005</v>
      </c>
      <c r="I17" s="392">
        <f>4769332.49+6543268.05</f>
        <v>11312600.539999999</v>
      </c>
      <c r="J17" s="391">
        <f>6113577.25</f>
        <v>6113577.25</v>
      </c>
      <c r="K17" s="391">
        <v>6434703.5899999999</v>
      </c>
      <c r="L17" s="391">
        <f>6822741.69</f>
        <v>6822741.6900000004</v>
      </c>
      <c r="M17" s="392">
        <v>0</v>
      </c>
      <c r="N17" s="391">
        <f>11083771.46+4773542.66</f>
        <v>15857314.120000001</v>
      </c>
      <c r="O17" s="391">
        <v>15869440.379999999</v>
      </c>
      <c r="P17" s="391">
        <f>9979211.57+7945575.82</f>
        <v>17924787.390000001</v>
      </c>
      <c r="Q17" s="392">
        <f>13914712.99+5458824.74</f>
        <v>19373537.73</v>
      </c>
    </row>
    <row r="18" spans="1:17" ht="15.95" customHeight="1" x14ac:dyDescent="0.2">
      <c r="A18" s="378" t="s">
        <v>16</v>
      </c>
      <c r="B18" s="391">
        <f>47197799.11+75020541.72</f>
        <v>122218340.83</v>
      </c>
      <c r="C18" s="391">
        <v>146991128.34999999</v>
      </c>
      <c r="D18" s="391">
        <f>66475821.13+98395049.42</f>
        <v>164870870.55000001</v>
      </c>
      <c r="E18" s="392">
        <f>63941599.45+107700401.69</f>
        <v>171642001.13999999</v>
      </c>
      <c r="F18" s="391">
        <f>3215336.57+5110753</f>
        <v>8326089.5700000003</v>
      </c>
      <c r="G18" s="391">
        <v>10047156.59</v>
      </c>
      <c r="H18" s="391">
        <f>4537357.72+6716028.84</f>
        <v>11253386.559999999</v>
      </c>
      <c r="I18" s="392">
        <f>4380713.86+7378680.7</f>
        <v>11759394.560000001</v>
      </c>
      <c r="J18" s="391">
        <f>2046537.11+807600.63</f>
        <v>2854137.74</v>
      </c>
      <c r="K18" s="391">
        <v>4018658.65</v>
      </c>
      <c r="L18" s="391">
        <f>3883353.98+1016038.59</f>
        <v>4899392.57</v>
      </c>
      <c r="M18" s="392">
        <f>698800.09+727752.46</f>
        <v>1426552.5499999998</v>
      </c>
      <c r="N18" s="391">
        <f>7883727.56+5273887.46</f>
        <v>13157615.02</v>
      </c>
      <c r="O18" s="391">
        <v>15942768.92</v>
      </c>
      <c r="P18" s="391">
        <f>11047571+6412975.59</f>
        <v>17460546.59</v>
      </c>
      <c r="Q18" s="392">
        <f>10097581.2+6741402.5</f>
        <v>16838983.699999999</v>
      </c>
    </row>
    <row r="19" spans="1:17" ht="15.95" customHeight="1" x14ac:dyDescent="0.2">
      <c r="A19" s="378" t="s">
        <v>17</v>
      </c>
      <c r="B19" s="391">
        <f>56234287.72+88912264.64</f>
        <v>145146552.36000001</v>
      </c>
      <c r="C19" s="391">
        <v>153096816.72</v>
      </c>
      <c r="D19" s="391">
        <f>61370335.66+106681104.35</f>
        <v>168051440.00999999</v>
      </c>
      <c r="E19" s="392">
        <f>62181201.21+107350839.32</f>
        <v>169532040.53</v>
      </c>
      <c r="F19" s="391">
        <f>3830944.78+6057122.6</f>
        <v>9888067.379999999</v>
      </c>
      <c r="G19" s="391">
        <v>10464493.41</v>
      </c>
      <c r="H19" s="391">
        <f>4188878.92+7281599.81</f>
        <v>11470478.73</v>
      </c>
      <c r="I19" s="392">
        <f>4260106.97+7354731.75</f>
        <v>11614838.719999999</v>
      </c>
      <c r="J19" s="391">
        <f>1345328.26+682221.25</f>
        <v>2027549.51</v>
      </c>
      <c r="K19" s="391">
        <v>2712065.1</v>
      </c>
      <c r="L19" s="391">
        <f>1334207.93+844844.33</f>
        <v>2179052.2599999998</v>
      </c>
      <c r="M19" s="392">
        <f>922008.44+533404.88</f>
        <v>1455413.3199999998</v>
      </c>
      <c r="N19" s="391">
        <f>7270108.23+4931611.98</f>
        <v>12201720.210000001</v>
      </c>
      <c r="O19" s="391">
        <v>13549129.43</v>
      </c>
      <c r="P19" s="391">
        <f>9120336.79+6017945.92</f>
        <v>15138282.709999999</v>
      </c>
      <c r="Q19" s="392">
        <f>10032836.09+5811252.86</f>
        <v>15844088.949999999</v>
      </c>
    </row>
    <row r="20" spans="1:17" ht="15.95" customHeight="1" thickBot="1" x14ac:dyDescent="0.25">
      <c r="A20" s="393" t="s">
        <v>18</v>
      </c>
      <c r="B20" s="394">
        <f>48020231.52+112138892.43</f>
        <v>160159123.95000002</v>
      </c>
      <c r="C20" s="394">
        <v>174169701.38999999</v>
      </c>
      <c r="D20" s="394">
        <f>60630552.23+132182730.72</f>
        <v>192813282.94999999</v>
      </c>
      <c r="E20" s="395">
        <f>70519568.48+127366803.79</f>
        <v>197886372.27000001</v>
      </c>
      <c r="F20" s="396">
        <f>3271364.54+7639430.03</f>
        <v>10910794.57</v>
      </c>
      <c r="G20" s="394">
        <v>11904869.98</v>
      </c>
      <c r="H20" s="394">
        <f>4138384.43+9022232.75</f>
        <v>13160617.18</v>
      </c>
      <c r="I20" s="395">
        <f>4831378.23+8726048.96</f>
        <v>13557427.190000001</v>
      </c>
      <c r="J20" s="394">
        <f>882498.75+13275723.28</f>
        <v>14158222.029999999</v>
      </c>
      <c r="K20" s="394">
        <v>13961314.539999999</v>
      </c>
      <c r="L20" s="394">
        <f>1031942.53+15519190.19</f>
        <v>16551132.719999999</v>
      </c>
      <c r="M20" s="395">
        <f>760309.44+13223944.74</f>
        <v>13984254.18</v>
      </c>
      <c r="N20" s="394">
        <f>5015387.3+5831332</f>
        <v>10846719.300000001</v>
      </c>
      <c r="O20" s="394">
        <v>12101982.68</v>
      </c>
      <c r="P20" s="394">
        <f>6530751.09+7467339.56</f>
        <v>13998090.649999999</v>
      </c>
      <c r="Q20" s="395">
        <f>7419000.97+7771227.61</f>
        <v>15190228.58</v>
      </c>
    </row>
    <row r="21" spans="1:17" ht="21" customHeight="1" thickBot="1" x14ac:dyDescent="0.25">
      <c r="A21" s="397" t="s">
        <v>19</v>
      </c>
      <c r="B21" s="398">
        <f t="shared" ref="B21" si="0">SUM(B9:B20)</f>
        <v>1550184172.9400003</v>
      </c>
      <c r="C21" s="399">
        <f>SUM(C9:C20)</f>
        <v>1735964676.6199999</v>
      </c>
      <c r="D21" s="400">
        <f>SUM(D9:D20)</f>
        <v>1933180025.51</v>
      </c>
      <c r="E21" s="401">
        <f>SUM(E9:E20)</f>
        <v>1813194043.7</v>
      </c>
      <c r="F21" s="399">
        <f t="shared" ref="F21" si="1">SUM(F9:F20)</f>
        <v>105541719.66999999</v>
      </c>
      <c r="G21" s="399">
        <f>SUM(G9:G20)</f>
        <v>118643260.23</v>
      </c>
      <c r="H21" s="400">
        <f t="shared" ref="H21:Q21" si="2">SUM(H9:H20)</f>
        <v>131957572.29000002</v>
      </c>
      <c r="I21" s="401">
        <f t="shared" si="2"/>
        <v>124206237.03</v>
      </c>
      <c r="J21" s="402">
        <f t="shared" si="2"/>
        <v>56891091.930000007</v>
      </c>
      <c r="K21" s="399">
        <f t="shared" si="2"/>
        <v>41425996.219999999</v>
      </c>
      <c r="L21" s="400">
        <f t="shared" si="2"/>
        <v>54276767.850000001</v>
      </c>
      <c r="M21" s="401">
        <f t="shared" si="2"/>
        <v>30104455.289999999</v>
      </c>
      <c r="N21" s="399">
        <f t="shared" si="2"/>
        <v>147150464.68000001</v>
      </c>
      <c r="O21" s="399">
        <f t="shared" si="2"/>
        <v>163583863.15000001</v>
      </c>
      <c r="P21" s="400">
        <f t="shared" si="2"/>
        <v>183041506.52000001</v>
      </c>
      <c r="Q21" s="401">
        <f t="shared" si="2"/>
        <v>183637002.17999998</v>
      </c>
    </row>
    <row r="22" spans="1:17" ht="13.5" customHeight="1" x14ac:dyDescent="0.2">
      <c r="A22" s="71"/>
      <c r="B22" s="73"/>
      <c r="C22" s="73"/>
      <c r="D22" s="213"/>
      <c r="E22" s="91"/>
      <c r="F22" s="73"/>
      <c r="G22" s="73"/>
      <c r="H22" s="73"/>
      <c r="I22" s="213"/>
      <c r="J22" s="71"/>
      <c r="K22" s="73"/>
      <c r="L22" s="71"/>
      <c r="M22" s="91"/>
      <c r="N22" s="71"/>
      <c r="O22" s="73"/>
      <c r="P22" s="213"/>
    </row>
    <row r="23" spans="1:17" ht="13.5" customHeight="1" x14ac:dyDescent="0.2">
      <c r="A23" s="71"/>
      <c r="B23" s="73"/>
      <c r="C23" s="73"/>
      <c r="D23" s="213"/>
      <c r="E23" s="91"/>
      <c r="F23" s="73"/>
      <c r="G23" s="73"/>
      <c r="H23" s="73"/>
      <c r="I23" s="213"/>
      <c r="J23" s="71"/>
      <c r="K23" s="73"/>
      <c r="L23" s="71"/>
      <c r="M23" s="91"/>
      <c r="N23" s="71"/>
      <c r="O23" s="73"/>
      <c r="P23" s="213"/>
    </row>
    <row r="24" spans="1:17" ht="13.5" customHeight="1" thickBot="1" x14ac:dyDescent="0.25">
      <c r="A24" s="92"/>
      <c r="B24" s="73"/>
      <c r="C24" s="93"/>
      <c r="D24" s="213"/>
      <c r="E24" s="213"/>
      <c r="F24" s="73"/>
      <c r="G24" s="73"/>
      <c r="H24" s="73"/>
      <c r="I24" s="213"/>
      <c r="M24" s="381" t="s">
        <v>59</v>
      </c>
      <c r="P24" s="205"/>
    </row>
    <row r="25" spans="1:17" ht="13.5" customHeight="1" x14ac:dyDescent="0.2">
      <c r="A25" s="660" t="s">
        <v>2</v>
      </c>
      <c r="B25" s="663" t="s">
        <v>66</v>
      </c>
      <c r="C25" s="640"/>
      <c r="D25" s="640"/>
      <c r="E25" s="641"/>
      <c r="F25" s="664" t="s">
        <v>67</v>
      </c>
      <c r="G25" s="640"/>
      <c r="H25" s="640"/>
      <c r="I25" s="641"/>
      <c r="J25" s="665" t="s">
        <v>68</v>
      </c>
      <c r="K25" s="640"/>
      <c r="L25" s="640"/>
      <c r="M25" s="641"/>
      <c r="Q25" s="66"/>
    </row>
    <row r="26" spans="1:17" ht="13.5" customHeight="1" thickBot="1" x14ac:dyDescent="0.25">
      <c r="A26" s="661"/>
      <c r="B26" s="643"/>
      <c r="C26" s="643"/>
      <c r="D26" s="643"/>
      <c r="E26" s="644"/>
      <c r="F26" s="642"/>
      <c r="G26" s="643"/>
      <c r="H26" s="643"/>
      <c r="I26" s="644"/>
      <c r="J26" s="642"/>
      <c r="K26" s="643"/>
      <c r="L26" s="643"/>
      <c r="M26" s="644"/>
      <c r="Q26" s="66"/>
    </row>
    <row r="27" spans="1:17" ht="13.5" customHeight="1" x14ac:dyDescent="0.2">
      <c r="A27" s="661"/>
      <c r="B27" s="206"/>
      <c r="C27" s="206"/>
      <c r="D27" s="207"/>
      <c r="E27" s="382" t="s">
        <v>129</v>
      </c>
      <c r="F27" s="403"/>
      <c r="G27" s="403"/>
      <c r="H27" s="207"/>
      <c r="I27" s="382" t="s">
        <v>129</v>
      </c>
      <c r="J27" s="214"/>
      <c r="K27" s="404"/>
      <c r="L27" s="404"/>
      <c r="M27" s="383" t="s">
        <v>129</v>
      </c>
      <c r="Q27" s="66"/>
    </row>
    <row r="28" spans="1:17" ht="13.5" customHeight="1" thickBot="1" x14ac:dyDescent="0.25">
      <c r="A28" s="662"/>
      <c r="B28" s="210" t="s">
        <v>85</v>
      </c>
      <c r="C28" s="210" t="s">
        <v>104</v>
      </c>
      <c r="D28" s="211" t="s">
        <v>115</v>
      </c>
      <c r="E28" s="384"/>
      <c r="F28" s="210" t="s">
        <v>85</v>
      </c>
      <c r="G28" s="210" t="s">
        <v>104</v>
      </c>
      <c r="H28" s="211" t="s">
        <v>115</v>
      </c>
      <c r="I28" s="384"/>
      <c r="J28" s="215" t="s">
        <v>85</v>
      </c>
      <c r="K28" s="215" t="s">
        <v>104</v>
      </c>
      <c r="L28" s="215" t="s">
        <v>115</v>
      </c>
      <c r="M28" s="385"/>
      <c r="Q28" s="66"/>
    </row>
    <row r="29" spans="1:17" ht="15.95" customHeight="1" x14ac:dyDescent="0.2">
      <c r="A29" s="386" t="s">
        <v>7</v>
      </c>
      <c r="B29" s="387">
        <f>33355435.75+5104038.98</f>
        <v>38459474.730000004</v>
      </c>
      <c r="C29" s="387">
        <v>42049856.450000003</v>
      </c>
      <c r="D29" s="387">
        <f>103157844.05+3705625.4</f>
        <v>106863469.45</v>
      </c>
      <c r="E29" s="388">
        <f>31294512.65+5014675.7</f>
        <v>36309188.350000001</v>
      </c>
      <c r="F29" s="387">
        <f>261766552.27+13265576.51</f>
        <v>275032128.78000003</v>
      </c>
      <c r="G29" s="387">
        <v>298788186.83999997</v>
      </c>
      <c r="H29" s="387">
        <f>297932194.59+35270116.05</f>
        <v>333202310.63999999</v>
      </c>
      <c r="I29" s="388">
        <f>313068784.62+28058784.76</f>
        <v>341127569.38</v>
      </c>
      <c r="J29" s="405">
        <f>B9+F9+J9+N9+B29+F29</f>
        <v>483306453.15000004</v>
      </c>
      <c r="K29" s="406">
        <f>C9+G9+K9+O9+C29+G29</f>
        <v>516351749.89999998</v>
      </c>
      <c r="L29" s="406">
        <f>D9+H9+L9+P9+D29+H29</f>
        <v>643360163.25999999</v>
      </c>
      <c r="M29" s="388">
        <f>E9+I9+M9+Q9+E29+I29</f>
        <v>591083770.95000005</v>
      </c>
      <c r="O29" s="412"/>
      <c r="Q29" s="66"/>
    </row>
    <row r="30" spans="1:17" ht="15.95" customHeight="1" x14ac:dyDescent="0.2">
      <c r="A30" s="390" t="s">
        <v>8</v>
      </c>
      <c r="B30" s="391">
        <f>6100605.31+7652883.35</f>
        <v>13753488.66</v>
      </c>
      <c r="C30" s="391">
        <v>8417186.4000000004</v>
      </c>
      <c r="D30" s="391">
        <f>4082865.34+6037077.15</f>
        <v>10119942.49</v>
      </c>
      <c r="E30" s="392">
        <f>8680722.5+5840522.58</f>
        <v>14521245.08</v>
      </c>
      <c r="F30" s="391">
        <f>334500131.58+12730461.2</f>
        <v>347230592.77999997</v>
      </c>
      <c r="G30" s="391">
        <v>414077487.31999999</v>
      </c>
      <c r="H30" s="391">
        <f>369687922.62+24091063.99</f>
        <v>393778986.61000001</v>
      </c>
      <c r="I30" s="392">
        <f>395095018.54+25119327.78</f>
        <v>420214346.32000005</v>
      </c>
      <c r="J30" s="348">
        <f t="shared" ref="J30:M40" si="3">B10+F10+J10+N10+B30+F30</f>
        <v>519221603.46999997</v>
      </c>
      <c r="K30" s="406">
        <f t="shared" si="3"/>
        <v>597755223.25</v>
      </c>
      <c r="L30" s="406">
        <f t="shared" si="3"/>
        <v>596146731.75</v>
      </c>
      <c r="M30" s="388">
        <f t="shared" si="3"/>
        <v>635065505.42000008</v>
      </c>
      <c r="O30" s="412"/>
      <c r="Q30" s="66"/>
    </row>
    <row r="31" spans="1:17" ht="15.95" customHeight="1" x14ac:dyDescent="0.2">
      <c r="A31" s="390" t="s">
        <v>9</v>
      </c>
      <c r="B31" s="391">
        <f>9230068.15+263500665.01</f>
        <v>272730733.15999997</v>
      </c>
      <c r="C31" s="391">
        <v>275838123.50999999</v>
      </c>
      <c r="D31" s="391">
        <f>6498575.54+281953401.35</f>
        <v>288451976.89000005</v>
      </c>
      <c r="E31" s="392">
        <f>6952715.59+296907676.83</f>
        <v>303860392.41999996</v>
      </c>
      <c r="F31" s="391">
        <f>129275983.97+22436225.46</f>
        <v>151712209.43000001</v>
      </c>
      <c r="G31" s="391">
        <v>194379745.97</v>
      </c>
      <c r="H31" s="391">
        <f>164152322.73+17222897.39</f>
        <v>181375220.12</v>
      </c>
      <c r="I31" s="392">
        <f>196349973.08+22472520.65</f>
        <v>218822493.73000002</v>
      </c>
      <c r="J31" s="348">
        <f t="shared" si="3"/>
        <v>551254790.08999991</v>
      </c>
      <c r="K31" s="406">
        <f t="shared" si="3"/>
        <v>615000647.22000003</v>
      </c>
      <c r="L31" s="406">
        <f t="shared" si="3"/>
        <v>632028162.24000001</v>
      </c>
      <c r="M31" s="388">
        <f t="shared" si="3"/>
        <v>708193641.07999992</v>
      </c>
      <c r="O31" s="412"/>
      <c r="Q31" s="66"/>
    </row>
    <row r="32" spans="1:17" ht="15.95" customHeight="1" x14ac:dyDescent="0.2">
      <c r="A32" s="390" t="s">
        <v>10</v>
      </c>
      <c r="B32" s="391">
        <f>66107191.36+20191663.35</f>
        <v>86298854.710000008</v>
      </c>
      <c r="C32" s="391">
        <v>89634557.189999998</v>
      </c>
      <c r="D32" s="391">
        <f>63621866.19+30438551.55</f>
        <v>94060417.739999995</v>
      </c>
      <c r="E32" s="392">
        <f>45810824.07+6929842.1</f>
        <v>52740666.170000002</v>
      </c>
      <c r="F32" s="391">
        <f>176026879.96+9793059.54</f>
        <v>185819939.5</v>
      </c>
      <c r="G32" s="391">
        <v>220657185.78</v>
      </c>
      <c r="H32" s="391">
        <f>224217970.88+16208213.59</f>
        <v>240426184.47</v>
      </c>
      <c r="I32" s="392">
        <f>205989674.82+13040269.53</f>
        <v>219029944.34999999</v>
      </c>
      <c r="J32" s="348">
        <f t="shared" si="3"/>
        <v>382291183.20000005</v>
      </c>
      <c r="K32" s="406">
        <f t="shared" si="3"/>
        <v>430766113.04999995</v>
      </c>
      <c r="L32" s="406">
        <f t="shared" si="3"/>
        <v>479809167.75999999</v>
      </c>
      <c r="M32" s="388">
        <f t="shared" si="3"/>
        <v>421037737.96000004</v>
      </c>
      <c r="O32" s="412"/>
      <c r="Q32" s="66"/>
    </row>
    <row r="33" spans="1:17" ht="15.95" customHeight="1" x14ac:dyDescent="0.2">
      <c r="A33" s="390" t="s">
        <v>11</v>
      </c>
      <c r="B33" s="391">
        <f>935805.04</f>
        <v>935805.04</v>
      </c>
      <c r="C33" s="391">
        <v>731003.92</v>
      </c>
      <c r="D33" s="391">
        <f>436290.95+6327765.28</f>
        <v>6764056.2300000004</v>
      </c>
      <c r="E33" s="392">
        <v>0</v>
      </c>
      <c r="F33" s="391">
        <f>327906228.91+22734568.05</f>
        <v>350640796.96000004</v>
      </c>
      <c r="G33" s="391">
        <v>357278358.06</v>
      </c>
      <c r="H33" s="391">
        <f>367729653.13+23679100.6</f>
        <v>391408753.73000002</v>
      </c>
      <c r="I33" s="392">
        <f>301192642.68+14418295.09</f>
        <v>315610937.76999998</v>
      </c>
      <c r="J33" s="348">
        <f t="shared" si="3"/>
        <v>486990226.96000004</v>
      </c>
      <c r="K33" s="406">
        <f t="shared" si="3"/>
        <v>516042939.02999997</v>
      </c>
      <c r="L33" s="406">
        <f t="shared" si="3"/>
        <v>575083038.62</v>
      </c>
      <c r="M33" s="388">
        <f t="shared" si="3"/>
        <v>362850658.14999998</v>
      </c>
      <c r="O33" s="412"/>
      <c r="Q33" s="66"/>
    </row>
    <row r="34" spans="1:17" ht="15.95" customHeight="1" x14ac:dyDescent="0.2">
      <c r="A34" s="390" t="s">
        <v>12</v>
      </c>
      <c r="B34" s="391">
        <f>7313323.08+278454869.13</f>
        <v>285768192.20999998</v>
      </c>
      <c r="C34" s="391">
        <v>295584966.87</v>
      </c>
      <c r="D34" s="391">
        <f>11438771.78+231960801.62</f>
        <v>243399573.40000001</v>
      </c>
      <c r="E34" s="392">
        <f>127269360.92</f>
        <v>127269360.92</v>
      </c>
      <c r="F34" s="391">
        <f>191744215.39+13518337.07</f>
        <v>205262552.45999998</v>
      </c>
      <c r="G34" s="391">
        <v>261375020.03</v>
      </c>
      <c r="H34" s="391">
        <f>269432657.31+16282167.57</f>
        <v>285714824.88</v>
      </c>
      <c r="I34" s="392">
        <f>191180105.33+16103883.71</f>
        <v>207283989.04000002</v>
      </c>
      <c r="J34" s="348">
        <f t="shared" si="3"/>
        <v>652288425</v>
      </c>
      <c r="K34" s="406">
        <f t="shared" si="3"/>
        <v>739683228.28999996</v>
      </c>
      <c r="L34" s="406">
        <f t="shared" si="3"/>
        <v>725519652.20000005</v>
      </c>
      <c r="M34" s="388">
        <f t="shared" si="3"/>
        <v>468027854.29000002</v>
      </c>
      <c r="O34" s="412"/>
      <c r="Q34" s="66"/>
    </row>
    <row r="35" spans="1:17" ht="15.95" customHeight="1" x14ac:dyDescent="0.2">
      <c r="A35" s="378" t="s">
        <v>13</v>
      </c>
      <c r="B35" s="391">
        <f>199272126.63+90312389.36</f>
        <v>289584515.99000001</v>
      </c>
      <c r="C35" s="391">
        <v>292945668.03999996</v>
      </c>
      <c r="D35" s="391">
        <f>247511471+109836886.19</f>
        <v>357348357.19</v>
      </c>
      <c r="E35" s="392">
        <f>160847332.64+72528052.07</f>
        <v>233375384.70999998</v>
      </c>
      <c r="F35" s="391">
        <f>256447589.6+14575652.63</f>
        <v>271023242.23000002</v>
      </c>
      <c r="G35" s="391">
        <v>302608177.75</v>
      </c>
      <c r="H35" s="391">
        <f>278115364.36+34463201.29</f>
        <v>312578565.65000004</v>
      </c>
      <c r="I35" s="392">
        <f>269500803.33+26944160.71</f>
        <v>296444964.03999996</v>
      </c>
      <c r="J35" s="348">
        <f t="shared" si="3"/>
        <v>726514366.76999998</v>
      </c>
      <c r="K35" s="406">
        <f t="shared" si="3"/>
        <v>772688498.62</v>
      </c>
      <c r="L35" s="406">
        <f t="shared" si="3"/>
        <v>887148228.24000001</v>
      </c>
      <c r="M35" s="388">
        <f t="shared" si="3"/>
        <v>721121736.15999997</v>
      </c>
      <c r="O35" s="412"/>
      <c r="Q35" s="66"/>
    </row>
    <row r="36" spans="1:17" ht="15.95" customHeight="1" x14ac:dyDescent="0.2">
      <c r="A36" s="378" t="s">
        <v>14</v>
      </c>
      <c r="B36" s="391">
        <v>0</v>
      </c>
      <c r="C36" s="391">
        <v>0</v>
      </c>
      <c r="D36" s="391">
        <v>0</v>
      </c>
      <c r="E36" s="392">
        <v>0</v>
      </c>
      <c r="F36" s="391">
        <f>322566134.35+17993679.19</f>
        <v>340559813.54000002</v>
      </c>
      <c r="G36" s="391">
        <v>392482894.35000002</v>
      </c>
      <c r="H36" s="391">
        <f>361394693.03+29769585.38</f>
        <v>391164278.40999997</v>
      </c>
      <c r="I36" s="392">
        <f>385848699.3+20051512.81</f>
        <v>405900212.11000001</v>
      </c>
      <c r="J36" s="348">
        <f t="shared" si="3"/>
        <v>502318749.14000005</v>
      </c>
      <c r="K36" s="406">
        <f t="shared" si="3"/>
        <v>582582858.58000004</v>
      </c>
      <c r="L36" s="406">
        <f t="shared" si="3"/>
        <v>592993292.56999993</v>
      </c>
      <c r="M36" s="388">
        <f t="shared" si="3"/>
        <v>603622228.88999999</v>
      </c>
      <c r="Q36" s="66"/>
    </row>
    <row r="37" spans="1:17" ht="15.95" customHeight="1" x14ac:dyDescent="0.2">
      <c r="A37" s="390" t="s">
        <v>15</v>
      </c>
      <c r="B37" s="391">
        <f>204785616.62</f>
        <v>204785616.62</v>
      </c>
      <c r="C37" s="391">
        <v>118575134.48</v>
      </c>
      <c r="D37" s="391">
        <f>157121127.28</f>
        <v>157121127.28</v>
      </c>
      <c r="E37" s="392">
        <f>251701214.8</f>
        <v>251701214.80000001</v>
      </c>
      <c r="F37" s="391">
        <f>163038523.61</f>
        <v>163038523.61000001</v>
      </c>
      <c r="G37" s="391">
        <v>222304187.11000001</v>
      </c>
      <c r="H37" s="391">
        <f>261499518.95</f>
        <v>261499518.94999999</v>
      </c>
      <c r="I37" s="392">
        <f>287264617.94</f>
        <v>287264617.94</v>
      </c>
      <c r="J37" s="348">
        <f t="shared" si="3"/>
        <v>526323199.38</v>
      </c>
      <c r="K37" s="406">
        <f t="shared" si="3"/>
        <v>507514192.58999997</v>
      </c>
      <c r="L37" s="406">
        <f t="shared" si="3"/>
        <v>593798426.18000007</v>
      </c>
      <c r="M37" s="388">
        <f t="shared" si="3"/>
        <v>730883536.74000001</v>
      </c>
      <c r="Q37" s="66"/>
    </row>
    <row r="38" spans="1:17" ht="15.95" customHeight="1" x14ac:dyDescent="0.2">
      <c r="A38" s="378" t="s">
        <v>16</v>
      </c>
      <c r="B38" s="391">
        <f>39098160.24+39539865.61</f>
        <v>78638025.849999994</v>
      </c>
      <c r="C38" s="391">
        <v>144611533.48000002</v>
      </c>
      <c r="D38" s="391">
        <f>135502669.2+9694134.76</f>
        <v>145196803.95999998</v>
      </c>
      <c r="E38" s="392">
        <f>43743169.66+15406228.28</f>
        <v>59149397.939999998</v>
      </c>
      <c r="F38" s="391">
        <f>246333627.85+19021183.96</f>
        <v>265354811.81</v>
      </c>
      <c r="G38" s="391">
        <v>286337881.31</v>
      </c>
      <c r="H38" s="391">
        <f>249370791.47+26401884.76</f>
        <v>275772676.23000002</v>
      </c>
      <c r="I38" s="392">
        <f>264290535.88+28212249.75</f>
        <v>292502785.63</v>
      </c>
      <c r="J38" s="348">
        <f t="shared" si="3"/>
        <v>490549020.81999999</v>
      </c>
      <c r="K38" s="406">
        <f t="shared" si="3"/>
        <v>607949127.29999995</v>
      </c>
      <c r="L38" s="406">
        <f t="shared" si="3"/>
        <v>619453676.46000004</v>
      </c>
      <c r="M38" s="388">
        <f t="shared" si="3"/>
        <v>553319115.51999998</v>
      </c>
      <c r="Q38" s="66"/>
    </row>
    <row r="39" spans="1:17" ht="15.95" customHeight="1" x14ac:dyDescent="0.2">
      <c r="A39" s="378" t="s">
        <v>17</v>
      </c>
      <c r="B39" s="391">
        <f>12297531.27+3926894.73</f>
        <v>16224426</v>
      </c>
      <c r="C39" s="391">
        <v>10946617.25</v>
      </c>
      <c r="D39" s="391">
        <f>6018590.88</f>
        <v>6018590.8799999999</v>
      </c>
      <c r="E39" s="392">
        <f>11824039.05+2795828.95</f>
        <v>14619868</v>
      </c>
      <c r="F39" s="391">
        <f>327901389.77+15028994.89</f>
        <v>342930384.65999997</v>
      </c>
      <c r="G39" s="391">
        <v>404597424.04000002</v>
      </c>
      <c r="H39" s="391">
        <f>399824897.2+26451215.74</f>
        <v>426276112.94</v>
      </c>
      <c r="I39" s="392">
        <f>404452030.97+22983403.81</f>
        <v>427435434.78000003</v>
      </c>
      <c r="J39" s="348">
        <f t="shared" si="3"/>
        <v>528418700.12</v>
      </c>
      <c r="K39" s="406">
        <f t="shared" si="3"/>
        <v>595366545.95000005</v>
      </c>
      <c r="L39" s="406">
        <f t="shared" si="3"/>
        <v>629133957.52999997</v>
      </c>
      <c r="M39" s="388">
        <f t="shared" si="3"/>
        <v>640501684.29999995</v>
      </c>
      <c r="Q39" s="66"/>
    </row>
    <row r="40" spans="1:17" ht="15.95" customHeight="1" thickBot="1" x14ac:dyDescent="0.25">
      <c r="A40" s="393" t="s">
        <v>18</v>
      </c>
      <c r="B40" s="394">
        <f>279558303.85</f>
        <v>279558303.85000002</v>
      </c>
      <c r="C40" s="394">
        <v>222270822.72</v>
      </c>
      <c r="D40" s="394">
        <f>289657435.38</f>
        <v>289657435.38</v>
      </c>
      <c r="E40" s="395">
        <f>4898458.8+275877417.97</f>
        <v>280775876.77000004</v>
      </c>
      <c r="F40" s="394">
        <f>251114810.26+27684278.8</f>
        <v>278799089.06</v>
      </c>
      <c r="G40" s="394">
        <v>343799358.10000002</v>
      </c>
      <c r="H40" s="394">
        <f>318015845.14+27365739.45</f>
        <v>345381584.58999997</v>
      </c>
      <c r="I40" s="395">
        <f>311245724.81+27602079.37</f>
        <v>338847804.18000001</v>
      </c>
      <c r="J40" s="349">
        <f t="shared" si="3"/>
        <v>754432252.75999999</v>
      </c>
      <c r="K40" s="406">
        <f t="shared" si="3"/>
        <v>778208049.40999997</v>
      </c>
      <c r="L40" s="406">
        <f t="shared" si="3"/>
        <v>871562143.47000003</v>
      </c>
      <c r="M40" s="407">
        <f t="shared" si="3"/>
        <v>860241963.17000008</v>
      </c>
      <c r="Q40" s="66"/>
    </row>
    <row r="41" spans="1:17" ht="21" customHeight="1" thickBot="1" x14ac:dyDescent="0.25">
      <c r="A41" s="397" t="s">
        <v>19</v>
      </c>
      <c r="B41" s="399">
        <f t="shared" ref="B41:D41" si="4">SUM(B29:B40)</f>
        <v>1566737436.8199997</v>
      </c>
      <c r="C41" s="399">
        <f t="shared" si="4"/>
        <v>1501605470.3099999</v>
      </c>
      <c r="D41" s="400">
        <f t="shared" si="4"/>
        <v>1705001750.8900003</v>
      </c>
      <c r="E41" s="401">
        <f t="shared" ref="E41:L41" si="5">SUM(E29:E40)</f>
        <v>1374322595.1600001</v>
      </c>
      <c r="F41" s="402">
        <f t="shared" si="5"/>
        <v>3177404084.8199997</v>
      </c>
      <c r="G41" s="399">
        <f t="shared" si="5"/>
        <v>3698685906.6599998</v>
      </c>
      <c r="H41" s="400">
        <f t="shared" si="5"/>
        <v>3838579017.2199998</v>
      </c>
      <c r="I41" s="401">
        <f t="shared" si="5"/>
        <v>3770485099.27</v>
      </c>
      <c r="J41" s="408">
        <f t="shared" si="5"/>
        <v>6603908970.8599997</v>
      </c>
      <c r="K41" s="409">
        <f t="shared" si="5"/>
        <v>7259909173.1899996</v>
      </c>
      <c r="L41" s="409">
        <f t="shared" si="5"/>
        <v>7846036640.2799997</v>
      </c>
      <c r="M41" s="401">
        <f>E21+I21+M21+Q21+E41+I41</f>
        <v>7295949432.6299992</v>
      </c>
      <c r="Q41" s="66"/>
    </row>
    <row r="42" spans="1:17" x14ac:dyDescent="0.2">
      <c r="A42" s="92"/>
      <c r="B42" s="73"/>
      <c r="C42" s="73"/>
      <c r="D42" s="73"/>
      <c r="E42" s="213"/>
      <c r="F42" s="73"/>
      <c r="G42" s="73"/>
      <c r="H42" s="73"/>
      <c r="I42" s="213"/>
      <c r="J42" s="71"/>
      <c r="K42" s="73"/>
      <c r="L42" s="73"/>
      <c r="M42" s="213"/>
      <c r="N42" s="73"/>
      <c r="O42" s="73"/>
      <c r="P42" s="73"/>
    </row>
  </sheetData>
  <mergeCells count="12">
    <mergeCell ref="A25:A28"/>
    <mergeCell ref="B25:E26"/>
    <mergeCell ref="F25:I26"/>
    <mergeCell ref="J25:M26"/>
    <mergeCell ref="A1:Q1"/>
    <mergeCell ref="A2:Q2"/>
    <mergeCell ref="A3:Q3"/>
    <mergeCell ref="A5:A8"/>
    <mergeCell ref="B5:E6"/>
    <mergeCell ref="F5:I6"/>
    <mergeCell ref="J5:M6"/>
    <mergeCell ref="N5:Q6"/>
  </mergeCells>
  <pageMargins left="0.59055118110236227" right="0.59055118110236227" top="0.59055118110236227" bottom="0.59055118110236227" header="0.51181102362204722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4">
    <tabColor theme="5" tint="-0.499984740745262"/>
  </sheetPr>
  <dimension ref="A1:S48"/>
  <sheetViews>
    <sheetView showGridLines="0" topLeftCell="B1" zoomScaleNormal="100" workbookViewId="0">
      <selection sqref="A1:S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39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18" x14ac:dyDescent="0.25">
      <c r="E2" s="58"/>
    </row>
    <row r="3" spans="1:19" ht="15.75" x14ac:dyDescent="0.25">
      <c r="A3" s="59"/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38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</sheetData>
  <mergeCells count="2">
    <mergeCell ref="B1:S1"/>
    <mergeCell ref="B48:S48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1"/>
    <pageSetUpPr fitToPage="1"/>
  </sheetPr>
  <dimension ref="A1:S72"/>
  <sheetViews>
    <sheetView showGridLines="0" zoomScale="130" zoomScaleNormal="130" zoomScaleSheetLayoutView="100" workbookViewId="0">
      <selection activeCell="B51" sqref="B5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8.5" customHeight="1" x14ac:dyDescent="0.45">
      <c r="A1" s="57"/>
      <c r="B1" s="656" t="s">
        <v>131</v>
      </c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</row>
    <row r="2" spans="1:19" ht="20.25" x14ac:dyDescent="0.3">
      <c r="B2" s="587" t="s">
        <v>133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92"/>
      <c r="P2" s="592"/>
      <c r="Q2" s="592"/>
      <c r="R2" s="592"/>
      <c r="S2" s="592"/>
    </row>
    <row r="3" spans="1:19" ht="12.75" customHeight="1" x14ac:dyDescent="0.25">
      <c r="A3" s="59"/>
    </row>
    <row r="4" spans="1:19" ht="12.75" customHeight="1" x14ac:dyDescent="0.2"/>
    <row r="39" spans="11:19" x14ac:dyDescent="0.2">
      <c r="K39" s="60"/>
    </row>
    <row r="40" spans="11:19" x14ac:dyDescent="0.2">
      <c r="K40" s="60"/>
    </row>
    <row r="45" spans="1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1:19" x14ac:dyDescent="0.2">
      <c r="L46" s="62"/>
      <c r="M46" s="62"/>
      <c r="N46" s="62"/>
      <c r="O46" s="62"/>
      <c r="P46" s="62"/>
      <c r="Q46" s="62"/>
      <c r="R46" s="62"/>
      <c r="S46" s="62"/>
    </row>
    <row r="47" spans="11:19" x14ac:dyDescent="0.2">
      <c r="L47" s="62"/>
      <c r="M47" s="62"/>
      <c r="N47" s="62"/>
      <c r="O47" s="62"/>
      <c r="P47" s="62"/>
      <c r="Q47" s="62"/>
      <c r="R47" s="62"/>
      <c r="S47" s="62"/>
    </row>
    <row r="48" spans="11:19" x14ac:dyDescent="0.2">
      <c r="K48" s="61" t="s">
        <v>35</v>
      </c>
      <c r="L48" s="62"/>
      <c r="M48" s="62"/>
      <c r="N48" s="62"/>
      <c r="O48" s="62"/>
      <c r="P48" s="62"/>
      <c r="Q48" s="62"/>
      <c r="R48" s="62"/>
      <c r="S48" s="62"/>
    </row>
    <row r="49" spans="1:19" ht="28.5" x14ac:dyDescent="0.45">
      <c r="A49" s="57"/>
      <c r="B49" s="656" t="s">
        <v>131</v>
      </c>
      <c r="C49" s="657"/>
      <c r="D49" s="657"/>
      <c r="E49" s="657"/>
      <c r="F49" s="657"/>
      <c r="G49" s="657"/>
      <c r="H49" s="657"/>
      <c r="I49" s="657"/>
      <c r="J49" s="657"/>
      <c r="K49" s="657"/>
      <c r="L49" s="657"/>
      <c r="M49" s="657"/>
      <c r="N49" s="657"/>
      <c r="O49" s="657"/>
      <c r="P49" s="657"/>
      <c r="Q49" s="657"/>
      <c r="R49" s="657"/>
      <c r="S49" s="657"/>
    </row>
    <row r="50" spans="1:19" ht="20.25" x14ac:dyDescent="0.3">
      <c r="B50" s="587" t="s">
        <v>133</v>
      </c>
      <c r="C50" s="586"/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92"/>
      <c r="P50" s="592"/>
      <c r="Q50" s="592"/>
      <c r="R50" s="592"/>
      <c r="S50" s="592"/>
    </row>
    <row r="51" spans="1:19" ht="12.75" customHeight="1" x14ac:dyDescent="0.2"/>
    <row r="72" spans="11:19" x14ac:dyDescent="0.2">
      <c r="K72" s="632"/>
      <c r="L72" s="633"/>
      <c r="M72" s="633"/>
      <c r="N72" s="633"/>
      <c r="O72" s="633"/>
      <c r="P72" s="633"/>
      <c r="Q72" s="633"/>
      <c r="R72" s="633"/>
      <c r="S72" s="633"/>
    </row>
  </sheetData>
  <mergeCells count="5">
    <mergeCell ref="B1:S1"/>
    <mergeCell ref="B2:S2"/>
    <mergeCell ref="B49:S49"/>
    <mergeCell ref="B50:S50"/>
    <mergeCell ref="K72:S72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7" fitToHeight="0" orientation="landscape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5" tint="-0.499984740745262"/>
    <pageSetUpPr fitToPage="1"/>
  </sheetPr>
  <dimension ref="A1:N48"/>
  <sheetViews>
    <sheetView showGridLines="0" zoomScale="140" zoomScaleNormal="140" zoomScaleSheetLayoutView="130" workbookViewId="0">
      <selection sqref="A1:M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85" t="s">
        <v>135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20.25" x14ac:dyDescent="0.3">
      <c r="A2" s="638" t="s">
        <v>146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A3" s="212"/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67" t="s">
        <v>2</v>
      </c>
      <c r="B4" s="588" t="s">
        <v>95</v>
      </c>
      <c r="C4" s="640"/>
      <c r="D4" s="641"/>
      <c r="E4" s="647" t="s">
        <v>94</v>
      </c>
      <c r="F4" s="640"/>
      <c r="G4" s="641"/>
      <c r="H4" s="591" t="s">
        <v>93</v>
      </c>
      <c r="I4" s="640"/>
      <c r="J4" s="641"/>
      <c r="K4" s="570" t="s">
        <v>92</v>
      </c>
      <c r="L4" s="640"/>
      <c r="M4" s="641"/>
      <c r="N4" s="73"/>
    </row>
    <row r="5" spans="1:14" ht="13.5" customHeight="1" thickBot="1" x14ac:dyDescent="0.25">
      <c r="A5" s="645"/>
      <c r="B5" s="642"/>
      <c r="C5" s="643"/>
      <c r="D5" s="644"/>
      <c r="E5" s="642"/>
      <c r="F5" s="643"/>
      <c r="G5" s="644"/>
      <c r="H5" s="642"/>
      <c r="I5" s="643"/>
      <c r="J5" s="644"/>
      <c r="K5" s="642"/>
      <c r="L5" s="643"/>
      <c r="M5" s="644"/>
      <c r="N5" s="71"/>
    </row>
    <row r="6" spans="1:14" ht="13.5" customHeight="1" x14ac:dyDescent="0.2">
      <c r="A6" s="645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84" t="s">
        <v>6</v>
      </c>
      <c r="I6" s="557" t="s">
        <v>31</v>
      </c>
      <c r="J6" s="559" t="s">
        <v>32</v>
      </c>
      <c r="K6" s="584" t="s">
        <v>23</v>
      </c>
      <c r="L6" s="557" t="s">
        <v>31</v>
      </c>
      <c r="M6" s="559" t="s">
        <v>32</v>
      </c>
    </row>
    <row r="7" spans="1:14" ht="13.5" customHeight="1" thickBot="1" x14ac:dyDescent="0.25">
      <c r="A7" s="646"/>
      <c r="B7" s="636"/>
      <c r="C7" s="635"/>
      <c r="D7" s="634"/>
      <c r="E7" s="636"/>
      <c r="F7" s="635"/>
      <c r="G7" s="634"/>
      <c r="H7" s="636"/>
      <c r="I7" s="635"/>
      <c r="J7" s="634"/>
      <c r="K7" s="636"/>
      <c r="L7" s="635"/>
      <c r="M7" s="634"/>
    </row>
    <row r="8" spans="1:14" ht="15" customHeight="1" x14ac:dyDescent="0.2">
      <c r="A8" s="245" t="s">
        <v>7</v>
      </c>
      <c r="B8" s="247">
        <f>68481724.82+131290561.74</f>
        <v>199772286.56</v>
      </c>
      <c r="C8" s="248">
        <f>C20/12</f>
        <v>111506083.33333333</v>
      </c>
      <c r="D8" s="249">
        <f>B8-C8</f>
        <v>88266203.226666674</v>
      </c>
      <c r="E8" s="250">
        <f>4691763.17+8208167.24</f>
        <v>12899930.41</v>
      </c>
      <c r="F8" s="248">
        <f>F20/12</f>
        <v>7638333.333333333</v>
      </c>
      <c r="G8" s="249">
        <f>E8-F8</f>
        <v>5261597.0766666671</v>
      </c>
      <c r="H8" s="250">
        <f>3015395.21+1151297.8</f>
        <v>4166693.01</v>
      </c>
      <c r="I8" s="248">
        <f>I20/12</f>
        <v>1528250</v>
      </c>
      <c r="J8" s="251">
        <f>H8-I8</f>
        <v>2638443.0099999998</v>
      </c>
      <c r="K8" s="250">
        <f>10980312+6377060.33</f>
        <v>17357372.329999998</v>
      </c>
      <c r="L8" s="248">
        <f>L20/12</f>
        <v>15160250</v>
      </c>
      <c r="M8" s="251">
        <f>K8-L8</f>
        <v>2197122.3299999982</v>
      </c>
    </row>
    <row r="9" spans="1:14" ht="15" customHeight="1" x14ac:dyDescent="0.2">
      <c r="A9" s="246" t="s">
        <v>8</v>
      </c>
      <c r="B9" s="252">
        <f>64750495.25+55306112.21</f>
        <v>120056607.46000001</v>
      </c>
      <c r="C9" s="253">
        <f>C8*2</f>
        <v>223012166.66666666</v>
      </c>
      <c r="D9" s="249">
        <f>SUM(B8+B9)-C9</f>
        <v>96816727.353333324</v>
      </c>
      <c r="E9" s="247">
        <f>4048142.41+3457688.08</f>
        <v>7505830.4900000002</v>
      </c>
      <c r="F9" s="253">
        <f>F8*2</f>
        <v>15276666.666666666</v>
      </c>
      <c r="G9" s="249">
        <f>SUM(E8+E9)-F9</f>
        <v>5129094.2333333325</v>
      </c>
      <c r="H9" s="247">
        <f>1440580.31+2669275.77</f>
        <v>4109856.08</v>
      </c>
      <c r="I9" s="253">
        <f>I8*2</f>
        <v>3056500</v>
      </c>
      <c r="J9" s="249">
        <f>SUM(H8+H9)-I9</f>
        <v>5220049.09</v>
      </c>
      <c r="K9" s="252">
        <f>12998962.61+5778339.65</f>
        <v>18777302.259999998</v>
      </c>
      <c r="L9" s="253">
        <f>L8*2</f>
        <v>30320500</v>
      </c>
      <c r="M9" s="249">
        <f>SUM(K8+K9)-L9</f>
        <v>5814174.5899999961</v>
      </c>
    </row>
    <row r="10" spans="1:14" ht="15" customHeight="1" x14ac:dyDescent="0.2">
      <c r="A10" s="246" t="s">
        <v>9</v>
      </c>
      <c r="B10" s="252">
        <f>34283662.72+47184068.7</f>
        <v>81467731.420000002</v>
      </c>
      <c r="C10" s="253">
        <f>C8*3</f>
        <v>334518250</v>
      </c>
      <c r="D10" s="249">
        <f>SUM(B8+B9+B10)-C10</f>
        <v>66778375.439999998</v>
      </c>
      <c r="E10" s="247">
        <f>2143383.57+2949905.31</f>
        <v>5093288.88</v>
      </c>
      <c r="F10" s="254">
        <f>F8*3</f>
        <v>22915000</v>
      </c>
      <c r="G10" s="249">
        <f>SUM(E8+E9+E10)-F10</f>
        <v>2584049.7799999975</v>
      </c>
      <c r="H10" s="247">
        <f>4228458.38+8852019.5</f>
        <v>13080477.879999999</v>
      </c>
      <c r="I10" s="254">
        <f>I8*3</f>
        <v>4584750</v>
      </c>
      <c r="J10" s="249">
        <f>SUM(H8+H9+H10)-I10</f>
        <v>16772276.969999999</v>
      </c>
      <c r="K10" s="252">
        <f>6373683.74+6684859.75</f>
        <v>13058543.49</v>
      </c>
      <c r="L10" s="254">
        <f>L8*3</f>
        <v>45480750</v>
      </c>
      <c r="M10" s="249">
        <f>SUM(K8+K9+K10)-L10</f>
        <v>3712468.0799999982</v>
      </c>
    </row>
    <row r="11" spans="1:14" ht="15" customHeight="1" x14ac:dyDescent="0.2">
      <c r="A11" s="246" t="s">
        <v>10</v>
      </c>
      <c r="B11" s="252">
        <f>3878056.53+20886810.35</f>
        <v>24764866.880000003</v>
      </c>
      <c r="C11" s="253">
        <f>C8*4</f>
        <v>446024333.33333331</v>
      </c>
      <c r="D11" s="249">
        <f>SUM(B8+B9+B10+B11)-C11</f>
        <v>-19962841.013333321</v>
      </c>
      <c r="E11" s="247">
        <f>242452.57+1305824.51</f>
        <v>1548277.08</v>
      </c>
      <c r="F11" s="253">
        <f>F8*4</f>
        <v>30553333.333333332</v>
      </c>
      <c r="G11" s="249">
        <f>SUM(E8+E9+E10+E11)-F11</f>
        <v>-3506006.4733333327</v>
      </c>
      <c r="H11" s="247">
        <v>0</v>
      </c>
      <c r="I11" s="253">
        <f>I8*4</f>
        <v>6113000</v>
      </c>
      <c r="J11" s="249">
        <f>SUM(H8+H9+H10+H11)-I11</f>
        <v>15244026.969999999</v>
      </c>
      <c r="K11" s="252">
        <f>9419980.33+6129389.11</f>
        <v>15549369.440000001</v>
      </c>
      <c r="L11" s="253">
        <f>L8*4</f>
        <v>60641000</v>
      </c>
      <c r="M11" s="249">
        <f>SUM(K8+K9+K10+K11)-L11</f>
        <v>4101587.5199999958</v>
      </c>
    </row>
    <row r="12" spans="1:14" ht="15" customHeight="1" x14ac:dyDescent="0.2">
      <c r="A12" s="246" t="s">
        <v>11</v>
      </c>
      <c r="B12" s="252">
        <f>2004469.84+56774422.53</f>
        <v>58778892.370000005</v>
      </c>
      <c r="C12" s="253">
        <f>C8*5</f>
        <v>557530416.66666663</v>
      </c>
      <c r="D12" s="249">
        <f>SUM(B8+B9+B10+B11+B12)-C12</f>
        <v>-72690031.976666629</v>
      </c>
      <c r="E12" s="247">
        <f>125317.62+3549485.53</f>
        <v>3674803.15</v>
      </c>
      <c r="F12" s="253">
        <f>F8*5</f>
        <v>38191666.666666664</v>
      </c>
      <c r="G12" s="249">
        <f>SUM(E8+E9+E10+E11+E12)-F12</f>
        <v>-7469536.6566666663</v>
      </c>
      <c r="H12" s="247">
        <v>0</v>
      </c>
      <c r="I12" s="253">
        <f>I8*5</f>
        <v>7641250</v>
      </c>
      <c r="J12" s="249">
        <f>SUM(H8+H9+H10+H11+H12)-I12</f>
        <v>13715776.969999999</v>
      </c>
      <c r="K12" s="252">
        <f>9168432.97+6536459.91</f>
        <v>15704892.880000001</v>
      </c>
      <c r="L12" s="253">
        <f>L8*5</f>
        <v>75801250</v>
      </c>
      <c r="M12" s="249">
        <f>SUM(K8+K9+K10+K11+K12)-L12</f>
        <v>4646230.3999999911</v>
      </c>
    </row>
    <row r="13" spans="1:14" ht="15" customHeight="1" x14ac:dyDescent="0.2">
      <c r="A13" s="246" t="s">
        <v>12</v>
      </c>
      <c r="B13" s="252">
        <f>35977548.35+68206281.57</f>
        <v>104183829.91999999</v>
      </c>
      <c r="C13" s="253">
        <f>C8*6</f>
        <v>669036500</v>
      </c>
      <c r="D13" s="249">
        <f>SUM(B8+B9+B10+B11+B12+B13)-C13</f>
        <v>-80012285.389999986</v>
      </c>
      <c r="E13" s="247">
        <f>2249283.81+4264195</f>
        <v>6513478.8100000005</v>
      </c>
      <c r="F13" s="253">
        <f>F8*6</f>
        <v>45830000</v>
      </c>
      <c r="G13" s="249">
        <f>SUM(E8+E9+E10+E11+E12+E13)-F13</f>
        <v>-8594391.1799999997</v>
      </c>
      <c r="H13" s="247">
        <v>0</v>
      </c>
      <c r="I13" s="253">
        <f>I8*6</f>
        <v>9169500</v>
      </c>
      <c r="J13" s="249">
        <f>SUM(H8+H9+H10+H11+H12+H13)-I13</f>
        <v>12187526.969999999</v>
      </c>
      <c r="K13" s="252">
        <f>11001173.45+10697735.43</f>
        <v>21698908.879999999</v>
      </c>
      <c r="L13" s="253">
        <f>L8*6</f>
        <v>90961500</v>
      </c>
      <c r="M13" s="249">
        <f>SUM(K8+K9+K10+K11+K12+K13)-L13</f>
        <v>11184889.279999986</v>
      </c>
    </row>
    <row r="14" spans="1:14" ht="15" customHeight="1" x14ac:dyDescent="0.2">
      <c r="A14" s="246" t="s">
        <v>13</v>
      </c>
      <c r="B14" s="252">
        <f>44076616.51+79438257.43</f>
        <v>123514873.94</v>
      </c>
      <c r="C14" s="253">
        <f>C8*7</f>
        <v>780542583.33333325</v>
      </c>
      <c r="D14" s="249">
        <f>SUM(B8+B9+B10+B11+B12+B13+B14)-C14</f>
        <v>-68003494.783333302</v>
      </c>
      <c r="E14" s="247">
        <f>2755630.21+4966407.96</f>
        <v>7722038.1699999999</v>
      </c>
      <c r="F14" s="253">
        <f>F8*7</f>
        <v>53468333.333333328</v>
      </c>
      <c r="G14" s="249">
        <f>SUM(E8+E9+E10+E11+E12+E13+E14)-F14</f>
        <v>-8510686.3433333263</v>
      </c>
      <c r="H14" s="247">
        <f>650350.31+11093401.22</f>
        <v>11743751.530000001</v>
      </c>
      <c r="I14" s="253">
        <f>I8*7</f>
        <v>10697750</v>
      </c>
      <c r="J14" s="249">
        <f>SUM(H8+H9+H10+H11+H12+H13+H14)-I14</f>
        <v>22403028.5</v>
      </c>
      <c r="K14" s="252">
        <f>14227638.72+9300473.08</f>
        <v>23528111.800000001</v>
      </c>
      <c r="L14" s="253">
        <f>L8*7</f>
        <v>106121750</v>
      </c>
      <c r="M14" s="249">
        <f>SUM(K8+K9+K10+K11+K12+K13+K14)-L14</f>
        <v>19552751.079999983</v>
      </c>
    </row>
    <row r="15" spans="1:14" ht="15" customHeight="1" x14ac:dyDescent="0.2">
      <c r="A15" s="246" t="s">
        <v>14</v>
      </c>
      <c r="B15" s="252">
        <f>44188494.26+73186240.75</f>
        <v>117374735.00999999</v>
      </c>
      <c r="C15" s="253">
        <f>C8*8</f>
        <v>892048666.66666663</v>
      </c>
      <c r="D15" s="249">
        <f>SUM(B8+B9+B10+B11+B12+B13+B14+B15)-C15</f>
        <v>-62134843.106666684</v>
      </c>
      <c r="E15" s="247">
        <f>2762624.72+4575537.54</f>
        <v>7338162.2599999998</v>
      </c>
      <c r="F15" s="253">
        <f>F8*8</f>
        <v>61106666.666666664</v>
      </c>
      <c r="G15" s="249">
        <f>SUM(E8+E9+E10+E11+E12+E13+E14+E15)-F15</f>
        <v>-8810857.4166666642</v>
      </c>
      <c r="H15" s="247">
        <v>0</v>
      </c>
      <c r="I15" s="253">
        <f>I8*8</f>
        <v>12226000</v>
      </c>
      <c r="J15" s="249">
        <f>SUM(H8+H9+H10+H11+H12+H13+H14+H15)-I15</f>
        <v>20874778.5</v>
      </c>
      <c r="K15" s="252">
        <f>12348218.67+7736406.98</f>
        <v>20084625.649999999</v>
      </c>
      <c r="L15" s="253">
        <f>L8*8</f>
        <v>121282000</v>
      </c>
      <c r="M15" s="249">
        <f>SUM(K8+K9+K10+K11+K12+K13+K14+K15)-L15</f>
        <v>24477126.729999989</v>
      </c>
    </row>
    <row r="16" spans="1:14" ht="15" customHeight="1" x14ac:dyDescent="0.2">
      <c r="A16" s="246" t="s">
        <v>15</v>
      </c>
      <c r="B16" s="252">
        <f>52188094.85+63753153.74</f>
        <v>115941248.59</v>
      </c>
      <c r="C16" s="253">
        <f>C8*9</f>
        <v>1003554750</v>
      </c>
      <c r="D16" s="249">
        <f>SUM(B8+B9+B10+B11+B12+B13+B14+B15+B16)-C16</f>
        <v>-57699677.850000024</v>
      </c>
      <c r="E16" s="247">
        <f>3262752.47+3568591.08</f>
        <v>6831343.5500000007</v>
      </c>
      <c r="F16" s="253">
        <f>F8*9</f>
        <v>68745000</v>
      </c>
      <c r="G16" s="249">
        <f>SUM(E8+E9+E10+E11+E12+E13+E14+E15+E16)-F16</f>
        <v>-9617847.200000003</v>
      </c>
      <c r="H16" s="247">
        <f>147225.63+15205558.03</f>
        <v>15352783.66</v>
      </c>
      <c r="I16" s="253">
        <f>I8*9</f>
        <v>13754250</v>
      </c>
      <c r="J16" s="249">
        <f>SUM(H8+H9+H10+H11+H12+H13+H14+H15+H16)-I16</f>
        <v>34699312.159999996</v>
      </c>
      <c r="K16" s="252">
        <f>19908622.59+6915062.59</f>
        <v>26823685.18</v>
      </c>
      <c r="L16" s="253">
        <f>L8*9</f>
        <v>136442250</v>
      </c>
      <c r="M16" s="249">
        <f>SUM(K8+K9+K10+K11+K12+K13+K14+K15+K16)-L16</f>
        <v>36140561.909999996</v>
      </c>
    </row>
    <row r="17" spans="1:13" ht="15" customHeight="1" x14ac:dyDescent="0.2">
      <c r="A17" s="246" t="s">
        <v>16</v>
      </c>
      <c r="B17" s="252">
        <f>45637287.49+77553780.72</f>
        <v>123191068.21000001</v>
      </c>
      <c r="C17" s="253">
        <f>C8*10</f>
        <v>1115060833.3333333</v>
      </c>
      <c r="D17" s="249">
        <f>SUM(B8+B9+B10+B11+B12+B13+B14+B15+B16+B17)-C17</f>
        <v>-46014692.97333324</v>
      </c>
      <c r="E17" s="247">
        <f>2831501+4811714.72</f>
        <v>7643215.7199999997</v>
      </c>
      <c r="F17" s="253">
        <f>F8*10</f>
        <v>76383333.333333328</v>
      </c>
      <c r="G17" s="249">
        <f>SUM(E8+E9+E10+E11+E12+E13+E14+E15+E16+E17)-F17</f>
        <v>-9612964.8133333325</v>
      </c>
      <c r="H17" s="247">
        <f>4840672.62+2246260.76</f>
        <v>7086933.3799999999</v>
      </c>
      <c r="I17" s="253">
        <f>I8*10</f>
        <v>15282500</v>
      </c>
      <c r="J17" s="249">
        <f>SUM(H8+H9+H10+H11+H12+H13+H14+H15+H16+H17)-I17</f>
        <v>40257995.539999999</v>
      </c>
      <c r="K17" s="252">
        <f>12755819.16+8391663.33</f>
        <v>21147482.490000002</v>
      </c>
      <c r="L17" s="253">
        <f>L8*10</f>
        <v>151602500</v>
      </c>
      <c r="M17" s="249">
        <f>SUM(K8+K9+K10+K11+K12+K13+K14+K15+K16+K17)-L17</f>
        <v>42127794.400000006</v>
      </c>
    </row>
    <row r="18" spans="1:13" ht="15" customHeight="1" x14ac:dyDescent="0.2">
      <c r="A18" s="246" t="s">
        <v>17</v>
      </c>
      <c r="B18" s="252">
        <f>42026564.83+77558875.46</f>
        <v>119585440.28999999</v>
      </c>
      <c r="C18" s="253">
        <f>C8*11</f>
        <v>1226566916.6666665</v>
      </c>
      <c r="D18" s="249">
        <f>SUM(B8+B9+B10+B11+B12+B13+B14+B15+B16+B17+B18)-C18</f>
        <v>-37935336.016666412</v>
      </c>
      <c r="E18" s="247">
        <f>2607478.82+4812030.86</f>
        <v>7419509.6799999997</v>
      </c>
      <c r="F18" s="253">
        <f>F8*11</f>
        <v>84021666.666666657</v>
      </c>
      <c r="G18" s="249">
        <f>SUM(E8+E9+E10+E11+E12+E13+E14+E15+E16+E17+E18)-F18</f>
        <v>-9831788.4666666687</v>
      </c>
      <c r="H18" s="247">
        <f>2672222.02+3074919.85</f>
        <v>5747141.8700000001</v>
      </c>
      <c r="I18" s="253">
        <f>I8*11</f>
        <v>16810750</v>
      </c>
      <c r="J18" s="249">
        <f>SUM(H8+H9+H10+H11+H12+H13+H14+H15+H16+H17+H18)-I18</f>
        <v>44476887.409999996</v>
      </c>
      <c r="K18" s="252">
        <f>10690741.24+7489240.39</f>
        <v>18179981.629999999</v>
      </c>
      <c r="L18" s="253">
        <f>L8*11</f>
        <v>166762750</v>
      </c>
      <c r="M18" s="249">
        <f>SUM(K8+K9+K10+K11+K12+K13+K14+K15+K16+K17+K18)-L18</f>
        <v>45147526.030000001</v>
      </c>
    </row>
    <row r="19" spans="1:13" ht="15" customHeight="1" thickBot="1" x14ac:dyDescent="0.25">
      <c r="A19" s="339" t="s">
        <v>18</v>
      </c>
      <c r="B19" s="331">
        <f>45694957.16+104589235.96</f>
        <v>150284193.12</v>
      </c>
      <c r="C19" s="332">
        <f>C8*12</f>
        <v>1338073000</v>
      </c>
      <c r="D19" s="249">
        <f>SUM(B8+B9+B10+B11+B12+B13+B14+B15+B16+B17+B18+B19)-C19</f>
        <v>842773.76999998093</v>
      </c>
      <c r="E19" s="333">
        <f>2835079.05+6489091.35</f>
        <v>9324170.3999999985</v>
      </c>
      <c r="F19" s="332">
        <f>F8*12</f>
        <v>91660000</v>
      </c>
      <c r="G19" s="249">
        <f>SUM(E8+E9+E10+E11+E12+E13+E14+E15+E16+E17+E18+E19)-F19</f>
        <v>-8145951.400000006</v>
      </c>
      <c r="H19" s="333">
        <f>2128815.8+25929949</f>
        <v>28058764.800000001</v>
      </c>
      <c r="I19" s="332">
        <f>I8*12</f>
        <v>18339000</v>
      </c>
      <c r="J19" s="249">
        <f>SUM(H8+H9+H10+H11+H12+H13+H14+H15+H16+H17+H18+H19)-I19</f>
        <v>71007402.209999993</v>
      </c>
      <c r="K19" s="334">
        <f>9418272.55+10398452.15</f>
        <v>19816724.700000003</v>
      </c>
      <c r="L19" s="332">
        <f>L8*12</f>
        <v>181923000</v>
      </c>
      <c r="M19" s="249">
        <f>SUM(K8+K9+K10+K11+K12+K13+K14+K15+K16+K17+K18+K19)-L19</f>
        <v>49804000.730000019</v>
      </c>
    </row>
    <row r="20" spans="1:13" ht="15" customHeight="1" thickBot="1" x14ac:dyDescent="0.25">
      <c r="A20" s="257" t="s">
        <v>19</v>
      </c>
      <c r="B20" s="345">
        <f>SUM(B8:B19)</f>
        <v>1338915773.77</v>
      </c>
      <c r="C20" s="258">
        <f>1712429000-374356000</f>
        <v>1338073000</v>
      </c>
      <c r="D20" s="259"/>
      <c r="E20" s="345">
        <f>SUM(E8:E19)</f>
        <v>83514048.599999994</v>
      </c>
      <c r="F20" s="258">
        <f>117304000-25644000</f>
        <v>91660000</v>
      </c>
      <c r="G20" s="260"/>
      <c r="H20" s="345">
        <f>SUM(H8:H19)</f>
        <v>89346402.209999993</v>
      </c>
      <c r="I20" s="258">
        <v>18339000</v>
      </c>
      <c r="J20" s="260"/>
      <c r="K20" s="345">
        <f>SUM(K8:K19)</f>
        <v>231727000.73000002</v>
      </c>
      <c r="L20" s="258">
        <v>181923000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3.5" customHeight="1" x14ac:dyDescent="0.2">
      <c r="A24" s="567" t="s">
        <v>2</v>
      </c>
      <c r="B24" s="576" t="s">
        <v>20</v>
      </c>
      <c r="C24" s="648"/>
      <c r="D24" s="649"/>
      <c r="E24" s="582" t="s">
        <v>21</v>
      </c>
      <c r="F24" s="648"/>
      <c r="G24" s="649"/>
      <c r="H24" s="583" t="s">
        <v>22</v>
      </c>
      <c r="I24" s="648"/>
      <c r="J24" s="649"/>
      <c r="K24" s="370"/>
    </row>
    <row r="25" spans="1:13" ht="13.5" customHeight="1" thickBot="1" x14ac:dyDescent="0.25">
      <c r="A25" s="596"/>
      <c r="B25" s="650"/>
      <c r="C25" s="651"/>
      <c r="D25" s="652"/>
      <c r="E25" s="650"/>
      <c r="F25" s="651"/>
      <c r="G25" s="652"/>
      <c r="H25" s="650"/>
      <c r="I25" s="651"/>
      <c r="J25" s="652"/>
      <c r="K25" s="370"/>
    </row>
    <row r="26" spans="1:13" ht="13.5" customHeight="1" x14ac:dyDescent="0.2">
      <c r="A26" s="596"/>
      <c r="B26" s="563" t="s">
        <v>24</v>
      </c>
      <c r="C26" s="557" t="s">
        <v>31</v>
      </c>
      <c r="D26" s="559" t="s">
        <v>32</v>
      </c>
      <c r="E26" s="563" t="s">
        <v>25</v>
      </c>
      <c r="F26" s="557" t="s">
        <v>31</v>
      </c>
      <c r="G26" s="559" t="s">
        <v>32</v>
      </c>
      <c r="H26" s="566" t="s">
        <v>19</v>
      </c>
      <c r="I26" s="557" t="s">
        <v>31</v>
      </c>
      <c r="J26" s="559" t="s">
        <v>32</v>
      </c>
      <c r="K26" s="553" t="s">
        <v>116</v>
      </c>
    </row>
    <row r="27" spans="1:13" ht="13.5" customHeight="1" thickBot="1" x14ac:dyDescent="0.25">
      <c r="A27" s="597"/>
      <c r="B27" s="655"/>
      <c r="C27" s="635"/>
      <c r="D27" s="634"/>
      <c r="E27" s="655"/>
      <c r="F27" s="654"/>
      <c r="G27" s="634"/>
      <c r="H27" s="636"/>
      <c r="I27" s="635"/>
      <c r="J27" s="634"/>
      <c r="K27" s="653"/>
    </row>
    <row r="28" spans="1:13" ht="15" customHeight="1" x14ac:dyDescent="0.2">
      <c r="A28" s="261" t="s">
        <v>7</v>
      </c>
      <c r="B28" s="262">
        <f>76527199.62+5307600.21</f>
        <v>81834799.829999998</v>
      </c>
      <c r="C28" s="248">
        <f>C40/12</f>
        <v>151061000</v>
      </c>
      <c r="D28" s="251">
        <f>B28-C28</f>
        <v>-69226200.170000002</v>
      </c>
      <c r="E28" s="263">
        <f>313177096.32+26121844.45</f>
        <v>339298940.76999998</v>
      </c>
      <c r="F28" s="264">
        <f>F40/12</f>
        <v>346383916.66666669</v>
      </c>
      <c r="G28" s="265">
        <f>E28-F28</f>
        <v>-7084975.8966667056</v>
      </c>
      <c r="H28" s="266">
        <f t="shared" ref="H28:H40" si="0">$B8+$E8+$H8+$K8+$B28+$E28</f>
        <v>655330022.90999997</v>
      </c>
      <c r="I28" s="264">
        <f>I40/12</f>
        <v>633277833.33333337</v>
      </c>
      <c r="J28" s="267">
        <f>H28-I28</f>
        <v>22052189.576666594</v>
      </c>
      <c r="K28" s="268">
        <f>J28/I40</f>
        <v>2.9018581860813849E-3</v>
      </c>
    </row>
    <row r="29" spans="1:13" ht="15" customHeight="1" x14ac:dyDescent="0.2">
      <c r="A29" s="269" t="s">
        <v>8</v>
      </c>
      <c r="B29" s="270">
        <f>5583118.31+6616387.11</f>
        <v>12199505.42</v>
      </c>
      <c r="C29" s="253">
        <f>C28*2</f>
        <v>302122000</v>
      </c>
      <c r="D29" s="249">
        <f>SUM(B28+B29)-C29</f>
        <v>-208087694.75</v>
      </c>
      <c r="E29" s="271">
        <f>413944034.67+29612287.85</f>
        <v>443556322.52000004</v>
      </c>
      <c r="F29" s="254">
        <f>F28*2</f>
        <v>692767833.33333337</v>
      </c>
      <c r="G29" s="249">
        <f>SUM(E28+E29)-F29</f>
        <v>90087429.956666589</v>
      </c>
      <c r="H29" s="256">
        <f t="shared" si="0"/>
        <v>606205424.23000002</v>
      </c>
      <c r="I29" s="254">
        <f>I28*2</f>
        <v>1266555666.6666667</v>
      </c>
      <c r="J29" s="249">
        <f>SUM(H28+H29)-I29</f>
        <v>-5020219.5266668797</v>
      </c>
      <c r="K29" s="272">
        <f>J29/I40</f>
        <v>-6.6061309144549766E-4</v>
      </c>
    </row>
    <row r="30" spans="1:13" ht="15" customHeight="1" x14ac:dyDescent="0.2">
      <c r="A30" s="269" t="s">
        <v>9</v>
      </c>
      <c r="B30" s="273">
        <f>7992814.1+306349934.93</f>
        <v>314342749.03000003</v>
      </c>
      <c r="C30" s="254">
        <f>C28*3</f>
        <v>453183000</v>
      </c>
      <c r="D30" s="249">
        <f>SUM(B28+B29+B30)-C30</f>
        <v>-44805945.719999969</v>
      </c>
      <c r="E30" s="271">
        <f>144165907.52+28299681.67</f>
        <v>172465589.19</v>
      </c>
      <c r="F30" s="254">
        <f>F28*3</f>
        <v>1039151750</v>
      </c>
      <c r="G30" s="249">
        <f>SUM(E28+E29+E30)-F30</f>
        <v>-83830897.519999981</v>
      </c>
      <c r="H30" s="255">
        <f t="shared" si="0"/>
        <v>599508379.8900001</v>
      </c>
      <c r="I30" s="254">
        <f>I28*3</f>
        <v>1899833500</v>
      </c>
      <c r="J30" s="249">
        <f>SUM(H28+H29+H30)-I30</f>
        <v>-38789672.970000029</v>
      </c>
      <c r="K30" s="272">
        <f>J30/I40</f>
        <v>-5.104351640551663E-3</v>
      </c>
    </row>
    <row r="31" spans="1:13" ht="15" customHeight="1" x14ac:dyDescent="0.2">
      <c r="A31" s="269" t="s">
        <v>10</v>
      </c>
      <c r="B31" s="270">
        <f>71398171.76+15279257.87</f>
        <v>86677429.63000001</v>
      </c>
      <c r="C31" s="253">
        <f>C28*4</f>
        <v>604244000</v>
      </c>
      <c r="D31" s="249">
        <f>SUM(B28+B29+B30+B31)-C31</f>
        <v>-109189516.08999997</v>
      </c>
      <c r="E31" s="274">
        <f>239757470.93+21927693.54</f>
        <v>261685164.47</v>
      </c>
      <c r="F31" s="253">
        <f>F28*4</f>
        <v>1385535666.6666667</v>
      </c>
      <c r="G31" s="249">
        <f>SUM(E28+E29+E30+E31)-F31</f>
        <v>-168529649.7166667</v>
      </c>
      <c r="H31" s="255">
        <f t="shared" si="0"/>
        <v>390225107.5</v>
      </c>
      <c r="I31" s="253">
        <f>I28*4</f>
        <v>2533111333.3333335</v>
      </c>
      <c r="J31" s="249">
        <f>SUM(H28+H29+H30+H31)-I31</f>
        <v>-281842398.80333376</v>
      </c>
      <c r="K31" s="272">
        <f>J31/I40</f>
        <v>-3.7087776218723084E-2</v>
      </c>
    </row>
    <row r="32" spans="1:13" ht="15" customHeight="1" x14ac:dyDescent="0.2">
      <c r="A32" s="269" t="s">
        <v>11</v>
      </c>
      <c r="B32" s="273">
        <f>5575642.78+9072373.08</f>
        <v>14648015.859999999</v>
      </c>
      <c r="C32" s="253">
        <f>C28*5</f>
        <v>755305000</v>
      </c>
      <c r="D32" s="249">
        <f>SUM(B28+B29+B30+B31+B32)-C32</f>
        <v>-245602500.22999996</v>
      </c>
      <c r="E32" s="274">
        <f>420874020.88+13829504.42</f>
        <v>434703525.30000001</v>
      </c>
      <c r="F32" s="253">
        <f>F28*5</f>
        <v>1731919583.3333335</v>
      </c>
      <c r="G32" s="249">
        <f>SUM(E28+E29+E30+E31+E32)-F32</f>
        <v>-80210041.083333492</v>
      </c>
      <c r="H32" s="255">
        <f t="shared" si="0"/>
        <v>527510129.56</v>
      </c>
      <c r="I32" s="253">
        <f>I28*5</f>
        <v>3166389166.666667</v>
      </c>
      <c r="J32" s="249">
        <f>SUM(H28+H29+H30+H31+H32)-I32</f>
        <v>-387610102.57666731</v>
      </c>
      <c r="K32" s="272">
        <f>J32/I40</f>
        <v>-5.1005799005105885E-2</v>
      </c>
    </row>
    <row r="33" spans="1:13" ht="15" customHeight="1" x14ac:dyDescent="0.2">
      <c r="A33" s="269" t="s">
        <v>12</v>
      </c>
      <c r="B33" s="270">
        <f>29645714.43+333720237.8</f>
        <v>363365952.23000002</v>
      </c>
      <c r="C33" s="253">
        <f>C28*6</f>
        <v>906366000</v>
      </c>
      <c r="D33" s="249">
        <f>SUM(B28+B29+B30+B31+B32+B33)-C33</f>
        <v>-33297548</v>
      </c>
      <c r="E33" s="274">
        <f>284288986.07+26346644.78</f>
        <v>310635630.85000002</v>
      </c>
      <c r="F33" s="253">
        <f>F28*6</f>
        <v>2078303500</v>
      </c>
      <c r="G33" s="249">
        <f>SUM(E28+E29+E30+E31+E32+E33)-F33</f>
        <v>-115958326.9000001</v>
      </c>
      <c r="H33" s="255">
        <f t="shared" si="0"/>
        <v>806397800.69000006</v>
      </c>
      <c r="I33" s="253">
        <f>I28*6</f>
        <v>3799667000</v>
      </c>
      <c r="J33" s="249">
        <f>SUM(H28+H29+H30+H31+H32+H33)-I33</f>
        <v>-214490135.22000027</v>
      </c>
      <c r="K33" s="272">
        <f>J33/I40</f>
        <v>-2.8224859602170436E-2</v>
      </c>
    </row>
    <row r="34" spans="1:13" ht="15" customHeight="1" x14ac:dyDescent="0.2">
      <c r="A34" s="269" t="s">
        <v>13</v>
      </c>
      <c r="B34" s="273">
        <f>284126154.87+129333701.96</f>
        <v>413459856.82999998</v>
      </c>
      <c r="C34" s="253">
        <f>C28*7</f>
        <v>1057427000</v>
      </c>
      <c r="D34" s="249">
        <f>SUM(B28+B29+B30+B31+B32+B33+B34)-C34</f>
        <v>229101308.82999992</v>
      </c>
      <c r="E34" s="274">
        <f>337902542.89+36332925.72</f>
        <v>374235468.61000001</v>
      </c>
      <c r="F34" s="253">
        <f>F28*7</f>
        <v>2424687416.666667</v>
      </c>
      <c r="G34" s="249">
        <f>SUM(E28+E29+E30+E31+E32+E33+E34)-F34</f>
        <v>-88106774.956666946</v>
      </c>
      <c r="H34" s="255">
        <f t="shared" si="0"/>
        <v>954204100.88</v>
      </c>
      <c r="I34" s="253">
        <f>I28*7</f>
        <v>4432944833.333334</v>
      </c>
      <c r="J34" s="249">
        <f>SUM(H28+H29+H30+H31+H32+H33+H34)-I34</f>
        <v>106436132.32666588</v>
      </c>
      <c r="K34" s="272">
        <f>J34/I40</f>
        <v>1.4005981619792718E-2</v>
      </c>
    </row>
    <row r="35" spans="1:13" ht="15" customHeight="1" x14ac:dyDescent="0.2">
      <c r="A35" s="269" t="s">
        <v>14</v>
      </c>
      <c r="B35" s="270">
        <v>0</v>
      </c>
      <c r="C35" s="253">
        <f>C28*8</f>
        <v>1208488000</v>
      </c>
      <c r="D35" s="249">
        <f>SUM(B28+B29+B30+B31+B32+B33+B34+B35)-C35</f>
        <v>78040308.829999924</v>
      </c>
      <c r="E35" s="274">
        <f>446252397.35+24651046.95</f>
        <v>470903444.30000001</v>
      </c>
      <c r="F35" s="253">
        <f>F28*8</f>
        <v>2771071333.3333335</v>
      </c>
      <c r="G35" s="249">
        <f>SUM(E28+E29+E30+E31+E32+E33+E34+E35)-F35</f>
        <v>36412752.676666737</v>
      </c>
      <c r="H35" s="255">
        <f t="shared" si="0"/>
        <v>615700967.22000003</v>
      </c>
      <c r="I35" s="253">
        <f>I28*8</f>
        <v>5066222666.666667</v>
      </c>
      <c r="J35" s="249">
        <f>SUM(H28+H29+H30+H31+H32+H33+H34+H35)-I35</f>
        <v>88859266.21333313</v>
      </c>
      <c r="K35" s="272">
        <f>J35/I40</f>
        <v>1.1693033391259435E-2</v>
      </c>
    </row>
    <row r="36" spans="1:13" ht="15" customHeight="1" x14ac:dyDescent="0.2">
      <c r="A36" s="269" t="s">
        <v>15</v>
      </c>
      <c r="B36" s="273">
        <f>263994552.93</f>
        <v>263994552.93000001</v>
      </c>
      <c r="C36" s="253">
        <f>C28*9</f>
        <v>1359549000</v>
      </c>
      <c r="D36" s="249">
        <f>SUM(B28+B29+B30+B31+B32+B33+B34+B35+B36)-C36</f>
        <v>190973861.75999999</v>
      </c>
      <c r="E36" s="274">
        <f>287100700.8</f>
        <v>287100700.80000001</v>
      </c>
      <c r="F36" s="253">
        <f>F28*9</f>
        <v>3117455250</v>
      </c>
      <c r="G36" s="249">
        <f>SUM(E28+E29+E30+E31+E32+E33+E34+E35+E36)-F36</f>
        <v>-22870463.18999958</v>
      </c>
      <c r="H36" s="255">
        <f t="shared" si="0"/>
        <v>716044314.71000004</v>
      </c>
      <c r="I36" s="253">
        <f>I28*9</f>
        <v>5699500500</v>
      </c>
      <c r="J36" s="249">
        <f>SUM(H28+H29+H30+H31+H32+H33+H34+H35+H36)-I36</f>
        <v>171625747.59000015</v>
      </c>
      <c r="K36" s="272">
        <f>J36/I40</f>
        <v>2.2584314308332829E-2</v>
      </c>
    </row>
    <row r="37" spans="1:13" ht="15" customHeight="1" x14ac:dyDescent="0.2">
      <c r="A37" s="269" t="s">
        <v>16</v>
      </c>
      <c r="B37" s="270">
        <f>52877050.05+7639830.96</f>
        <v>60516881.009999998</v>
      </c>
      <c r="C37" s="253">
        <f>C28*10</f>
        <v>1510610000</v>
      </c>
      <c r="D37" s="249">
        <f>SUM(B28+B29+B30+B31+B32+B33+B34+B35+B36+B37)-C37</f>
        <v>100429742.76999998</v>
      </c>
      <c r="E37" s="274">
        <f>313258090.19+32269147.99</f>
        <v>345527238.18000001</v>
      </c>
      <c r="F37" s="253">
        <f>F28*10</f>
        <v>3463839166.666667</v>
      </c>
      <c r="G37" s="249">
        <f>SUM(E28+E29+E30+E31+E32+E33+E34+E35+E36+E37)-F37</f>
        <v>-23727141.676666737</v>
      </c>
      <c r="H37" s="255">
        <f t="shared" si="0"/>
        <v>565112818.99000001</v>
      </c>
      <c r="I37" s="253">
        <f>I28*10</f>
        <v>6332778333.333334</v>
      </c>
      <c r="J37" s="249">
        <f>SUM(H28+H29+H30+H31+H32+H33+H34+H35+H36+H37)-I37</f>
        <v>103460733.24666595</v>
      </c>
      <c r="K37" s="272">
        <f>J37/I40</f>
        <v>1.3614447430086104E-2</v>
      </c>
    </row>
    <row r="38" spans="1:13" ht="15" customHeight="1" x14ac:dyDescent="0.2">
      <c r="A38" s="269" t="s">
        <v>17</v>
      </c>
      <c r="B38" s="270">
        <f>9158609.11+355224.43</f>
        <v>9513833.5399999991</v>
      </c>
      <c r="C38" s="253">
        <f>C28*11</f>
        <v>1661671000</v>
      </c>
      <c r="D38" s="249">
        <f>SUM(B28+B29+B30+B31+B32+B33+B34+B35+B36+B37+B38)-C38</f>
        <v>-41117423.690000057</v>
      </c>
      <c r="E38" s="274">
        <f>461382635.84+32659137.57</f>
        <v>494041773.40999997</v>
      </c>
      <c r="F38" s="253">
        <f>F28*11</f>
        <v>3810223083.3333335</v>
      </c>
      <c r="G38" s="249">
        <f>SUM(E28+E29+E30+E31+E32+E33+E34+E35+E36+E37+E38)-F38</f>
        <v>123930715.0666666</v>
      </c>
      <c r="H38" s="255">
        <f t="shared" si="0"/>
        <v>654487680.41999996</v>
      </c>
      <c r="I38" s="253">
        <f>I28*11</f>
        <v>6966056166.666667</v>
      </c>
      <c r="J38" s="249">
        <f>SUM(H28+H29+H30+H31+H32+H33+H34+H35+H36+H37+H38)-I38</f>
        <v>124670580.33333302</v>
      </c>
      <c r="K38" s="272">
        <f>J38/I40</f>
        <v>1.640546136455287E-2</v>
      </c>
    </row>
    <row r="39" spans="1:13" ht="15" customHeight="1" thickBot="1" x14ac:dyDescent="0.25">
      <c r="A39" s="340" t="s">
        <v>18</v>
      </c>
      <c r="B39" s="335">
        <f>5999076.79+328478961.77</f>
        <v>334478038.56</v>
      </c>
      <c r="C39" s="332">
        <f>C28*12</f>
        <v>1812732000</v>
      </c>
      <c r="D39" s="410">
        <f>SUM(B28+B29+B30+B31+B32+B33+B34+B35+B36+B37+B38+B39)-C39</f>
        <v>142299614.86999989</v>
      </c>
      <c r="E39" s="337">
        <f>394175510.05+44979968.24</f>
        <v>439155478.29000002</v>
      </c>
      <c r="F39" s="332">
        <f>F28*12</f>
        <v>4156607000</v>
      </c>
      <c r="G39" s="249">
        <f>SUM(E28+E29+E30+E31+E32+E33+E34+E35+E36+E37+E38+E39)-F39</f>
        <v>216702276.69000053</v>
      </c>
      <c r="H39" s="275">
        <f t="shared" si="0"/>
        <v>981117369.87000012</v>
      </c>
      <c r="I39" s="338">
        <f>I28*12</f>
        <v>7599334000</v>
      </c>
      <c r="J39" s="411">
        <f>SUM(H28+H29+H30+H31+H32+H33+H34+H35+H36+H37+H38+H39)-I39</f>
        <v>472510116.86999989</v>
      </c>
      <c r="K39" s="272">
        <f>J39/I40</f>
        <v>6.2177832540325231E-2</v>
      </c>
    </row>
    <row r="40" spans="1:13" ht="15" customHeight="1" thickBot="1" x14ac:dyDescent="0.25">
      <c r="A40" s="257" t="s">
        <v>19</v>
      </c>
      <c r="B40" s="347">
        <f>SUM(B28:B39)</f>
        <v>1955031614.8699999</v>
      </c>
      <c r="C40" s="276">
        <f>1412732000+400000000</f>
        <v>1812732000</v>
      </c>
      <c r="D40" s="277"/>
      <c r="E40" s="345">
        <f>SUM(E28:E39)</f>
        <v>4373309276.6900005</v>
      </c>
      <c r="F40" s="258">
        <f>3756607000+400000000</f>
        <v>4156607000</v>
      </c>
      <c r="G40" s="278"/>
      <c r="H40" s="351">
        <f t="shared" si="0"/>
        <v>8071844116.8700008</v>
      </c>
      <c r="I40" s="279">
        <f>C20+F20+I20+L20+C40+F40</f>
        <v>7599334000</v>
      </c>
      <c r="J40" s="280"/>
      <c r="K40" s="350"/>
    </row>
    <row r="41" spans="1:13" x14ac:dyDescent="0.2">
      <c r="A41" s="659" t="s">
        <v>147</v>
      </c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42:M42"/>
    <mergeCell ref="E26:E27"/>
    <mergeCell ref="F26:F27"/>
    <mergeCell ref="G26:G27"/>
    <mergeCell ref="H26:H27"/>
    <mergeCell ref="I26:I27"/>
    <mergeCell ref="J26:J2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3D8EF-685D-4344-9D40-EB86876C2FE7}">
  <sheetPr>
    <tabColor theme="5" tint="-0.499984740745262"/>
  </sheetPr>
  <dimension ref="A1:S61"/>
  <sheetViews>
    <sheetView showGridLines="0" showRuler="0" zoomScale="160" zoomScaleNormal="160" zoomScaleSheetLayoutView="150" zoomScalePageLayoutView="160" workbookViewId="0">
      <selection sqref="A1:M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679" t="s">
        <v>136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451"/>
      <c r="Q1" s="451"/>
      <c r="R1" s="452"/>
      <c r="S1" s="452"/>
    </row>
    <row r="2" spans="1:19" ht="20.25" x14ac:dyDescent="0.25">
      <c r="A2" s="681" t="s">
        <v>146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/>
      <c r="Q2"/>
      <c r="R2"/>
      <c r="S2"/>
    </row>
    <row r="3" spans="1:19" ht="12.75" customHeight="1" x14ac:dyDescent="0.25">
      <c r="A3" s="59"/>
    </row>
    <row r="37" spans="1:19" ht="15" x14ac:dyDescent="0.25">
      <c r="I37" s="682" t="s">
        <v>35</v>
      </c>
      <c r="J37" s="683"/>
      <c r="K37" s="683"/>
      <c r="L37" s="683"/>
      <c r="M37" s="683"/>
      <c r="N37" s="683"/>
      <c r="O37" s="683"/>
    </row>
    <row r="38" spans="1:19" ht="28.5" x14ac:dyDescent="0.45">
      <c r="A38" s="679" t="s">
        <v>137</v>
      </c>
      <c r="B38" s="680"/>
      <c r="C38" s="680"/>
      <c r="D38" s="680"/>
      <c r="E38" s="680"/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452"/>
      <c r="Q38" s="452"/>
      <c r="R38" s="452"/>
      <c r="S38" s="452"/>
    </row>
    <row r="39" spans="1:19" ht="20.25" x14ac:dyDescent="0.25">
      <c r="A39" s="681" t="s">
        <v>146</v>
      </c>
      <c r="B39" s="680"/>
      <c r="C39" s="680"/>
      <c r="D39" s="680"/>
      <c r="E39" s="680"/>
      <c r="F39" s="680"/>
      <c r="G39" s="680"/>
      <c r="H39" s="680"/>
      <c r="I39" s="680"/>
      <c r="J39" s="680"/>
      <c r="K39" s="680"/>
      <c r="L39" s="680"/>
      <c r="M39" s="680"/>
      <c r="N39" s="680"/>
      <c r="O39" s="680"/>
      <c r="P39"/>
      <c r="Q39"/>
      <c r="R39"/>
      <c r="S39"/>
    </row>
    <row r="61" spans="11:19" x14ac:dyDescent="0.2">
      <c r="K61" s="632"/>
      <c r="L61" s="633"/>
      <c r="M61" s="633"/>
      <c r="N61" s="633"/>
      <c r="O61" s="633"/>
      <c r="P61" s="633"/>
      <c r="Q61" s="633"/>
      <c r="R61" s="633"/>
      <c r="S61" s="633"/>
    </row>
  </sheetData>
  <mergeCells count="6">
    <mergeCell ref="A1:O1"/>
    <mergeCell ref="A2:O2"/>
    <mergeCell ref="A38:O38"/>
    <mergeCell ref="A39:O39"/>
    <mergeCell ref="K61:S61"/>
    <mergeCell ref="I37:O37"/>
  </mergeCells>
  <printOptions horizontalCentered="1"/>
  <pageMargins left="0.51181102362204722" right="0.51181102362204722" top="0.51181102362204722" bottom="0.51181102362204722" header="0.51181102362204722" footer="0.51181102362204722"/>
  <pageSetup paperSize="9" fitToWidth="0" fitToHeight="0" orientation="landscape" r:id="rId1"/>
  <headerFooter alignWithMargins="0"/>
  <rowBreaks count="1" manualBreakCount="1">
    <brk id="37" max="14" man="1"/>
  </row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5" tint="-0.499984740745262"/>
    <pageSetUpPr fitToPage="1"/>
  </sheetPr>
  <dimension ref="A1:N48"/>
  <sheetViews>
    <sheetView showGridLines="0" topLeftCell="A14" zoomScale="140" zoomScaleNormal="140" workbookViewId="0">
      <selection sqref="A1:M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85" t="s">
        <v>138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20.25" x14ac:dyDescent="0.3">
      <c r="A2" s="638" t="s">
        <v>146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67" t="s">
        <v>2</v>
      </c>
      <c r="B4" s="588" t="s">
        <v>95</v>
      </c>
      <c r="C4" s="640"/>
      <c r="D4" s="641"/>
      <c r="E4" s="647" t="s">
        <v>94</v>
      </c>
      <c r="F4" s="640"/>
      <c r="G4" s="641"/>
      <c r="H4" s="591" t="s">
        <v>93</v>
      </c>
      <c r="I4" s="640"/>
      <c r="J4" s="641"/>
      <c r="K4" s="570" t="s">
        <v>92</v>
      </c>
      <c r="L4" s="640"/>
      <c r="M4" s="641"/>
      <c r="N4" s="73"/>
    </row>
    <row r="5" spans="1:14" ht="13.5" customHeight="1" thickBot="1" x14ac:dyDescent="0.25">
      <c r="A5" s="645"/>
      <c r="B5" s="642"/>
      <c r="C5" s="643"/>
      <c r="D5" s="644"/>
      <c r="E5" s="642"/>
      <c r="F5" s="643"/>
      <c r="G5" s="644"/>
      <c r="H5" s="642"/>
      <c r="I5" s="643"/>
      <c r="J5" s="644"/>
      <c r="K5" s="642"/>
      <c r="L5" s="643"/>
      <c r="M5" s="644"/>
      <c r="N5" s="71"/>
    </row>
    <row r="6" spans="1:14" ht="13.5" customHeight="1" x14ac:dyDescent="0.2">
      <c r="A6" s="645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84" t="s">
        <v>6</v>
      </c>
      <c r="I6" s="557" t="s">
        <v>31</v>
      </c>
      <c r="J6" s="559" t="s">
        <v>32</v>
      </c>
      <c r="K6" s="584" t="s">
        <v>23</v>
      </c>
      <c r="L6" s="557" t="s">
        <v>31</v>
      </c>
      <c r="M6" s="559" t="s">
        <v>32</v>
      </c>
    </row>
    <row r="7" spans="1:14" ht="13.5" customHeight="1" thickBot="1" x14ac:dyDescent="0.25">
      <c r="A7" s="646"/>
      <c r="B7" s="636"/>
      <c r="C7" s="635"/>
      <c r="D7" s="634"/>
      <c r="E7" s="636"/>
      <c r="F7" s="635"/>
      <c r="G7" s="634"/>
      <c r="H7" s="636"/>
      <c r="I7" s="635"/>
      <c r="J7" s="634"/>
      <c r="K7" s="636"/>
      <c r="L7" s="635"/>
      <c r="M7" s="634"/>
    </row>
    <row r="8" spans="1:14" ht="15" customHeight="1" x14ac:dyDescent="0.2">
      <c r="A8" s="245" t="s">
        <v>7</v>
      </c>
      <c r="B8" s="247">
        <f>68481724.82+131290561.74</f>
        <v>199772286.56</v>
      </c>
      <c r="C8" s="248">
        <f>C20/12</f>
        <v>111506083.33333333</v>
      </c>
      <c r="D8" s="249">
        <f>B8-C8</f>
        <v>88266203.226666674</v>
      </c>
      <c r="E8" s="250">
        <f>4691763.17+8208167.24</f>
        <v>12899930.41</v>
      </c>
      <c r="F8" s="248">
        <f>F20/12</f>
        <v>7638333.333333333</v>
      </c>
      <c r="G8" s="249">
        <f>E8-F8</f>
        <v>5261597.0766666671</v>
      </c>
      <c r="H8" s="250">
        <f>3015395.21+1151297.8</f>
        <v>4166693.01</v>
      </c>
      <c r="I8" s="248">
        <f>I20/12</f>
        <v>1528250</v>
      </c>
      <c r="J8" s="251">
        <f>H8-I8</f>
        <v>2638443.0099999998</v>
      </c>
      <c r="K8" s="250">
        <f>10980312+6377060.33</f>
        <v>17357372.329999998</v>
      </c>
      <c r="L8" s="248">
        <f>L20/12</f>
        <v>15160250</v>
      </c>
      <c r="M8" s="251">
        <f>K8-L8</f>
        <v>2197122.3299999982</v>
      </c>
    </row>
    <row r="9" spans="1:14" ht="15" customHeight="1" x14ac:dyDescent="0.2">
      <c r="A9" s="246" t="s">
        <v>8</v>
      </c>
      <c r="B9" s="252">
        <f>64750495.25+55306112.21+B8</f>
        <v>319828894.01999998</v>
      </c>
      <c r="C9" s="253">
        <f>C8*2</f>
        <v>223012166.66666666</v>
      </c>
      <c r="D9" s="249">
        <f>B9-C9</f>
        <v>96816727.353333324</v>
      </c>
      <c r="E9" s="247">
        <f>4048142.41+3457688.08+E8</f>
        <v>20405760.899999999</v>
      </c>
      <c r="F9" s="253">
        <f>F8*2</f>
        <v>15276666.666666666</v>
      </c>
      <c r="G9" s="249">
        <f t="shared" ref="G9:G19" si="0">E9-F9</f>
        <v>5129094.2333333325</v>
      </c>
      <c r="H9" s="247">
        <f>1440580.31+2669275.77+H8</f>
        <v>8276549.0899999999</v>
      </c>
      <c r="I9" s="253">
        <f>I8*2</f>
        <v>3056500</v>
      </c>
      <c r="J9" s="249">
        <f t="shared" ref="J9:J19" si="1">H9-I9</f>
        <v>5220049.09</v>
      </c>
      <c r="K9" s="252">
        <f>12998962.61+5778339.65+K8</f>
        <v>36134674.589999996</v>
      </c>
      <c r="L9" s="253">
        <f>L8*2</f>
        <v>30320500</v>
      </c>
      <c r="M9" s="249">
        <f t="shared" ref="M9:M19" si="2">K9-L9</f>
        <v>5814174.5899999961</v>
      </c>
    </row>
    <row r="10" spans="1:14" ht="15" customHeight="1" x14ac:dyDescent="0.2">
      <c r="A10" s="246" t="s">
        <v>9</v>
      </c>
      <c r="B10" s="252">
        <f>34283662.72+47184068.7+B9</f>
        <v>401296625.44</v>
      </c>
      <c r="C10" s="253">
        <f>C8*3</f>
        <v>334518250</v>
      </c>
      <c r="D10" s="249">
        <f>B10-C10</f>
        <v>66778375.439999998</v>
      </c>
      <c r="E10" s="247">
        <f>2143383.57+2949905.31+E9</f>
        <v>25499049.779999997</v>
      </c>
      <c r="F10" s="254">
        <f>F8*3</f>
        <v>22915000</v>
      </c>
      <c r="G10" s="249">
        <f t="shared" si="0"/>
        <v>2584049.7799999975</v>
      </c>
      <c r="H10" s="247">
        <f>4228458.38+8852019.5+H9</f>
        <v>21357026.969999999</v>
      </c>
      <c r="I10" s="254">
        <f>I8*3</f>
        <v>4584750</v>
      </c>
      <c r="J10" s="249">
        <f t="shared" si="1"/>
        <v>16772276.969999999</v>
      </c>
      <c r="K10" s="252">
        <f>6373683.74+6684859.75+K9</f>
        <v>49193218.079999998</v>
      </c>
      <c r="L10" s="254">
        <f>L8*3</f>
        <v>45480750</v>
      </c>
      <c r="M10" s="249">
        <f t="shared" si="2"/>
        <v>3712468.0799999982</v>
      </c>
    </row>
    <row r="11" spans="1:14" ht="15" customHeight="1" x14ac:dyDescent="0.2">
      <c r="A11" s="246" t="s">
        <v>10</v>
      </c>
      <c r="B11" s="252">
        <f>3878056.53+20886810.35+B10</f>
        <v>426061492.31999999</v>
      </c>
      <c r="C11" s="253">
        <f>C8*4</f>
        <v>446024333.33333331</v>
      </c>
      <c r="D11" s="249">
        <f t="shared" ref="D11:D19" si="3">B11-C11</f>
        <v>-19962841.013333321</v>
      </c>
      <c r="E11" s="247">
        <f>242452.57+1305824.51+E10</f>
        <v>27047326.859999999</v>
      </c>
      <c r="F11" s="253">
        <f>F8*4</f>
        <v>30553333.333333332</v>
      </c>
      <c r="G11" s="249">
        <f t="shared" si="0"/>
        <v>-3506006.4733333327</v>
      </c>
      <c r="H11" s="247">
        <f t="shared" ref="H11:H15" si="4">0+H10</f>
        <v>21357026.969999999</v>
      </c>
      <c r="I11" s="253">
        <f>I8*4</f>
        <v>6113000</v>
      </c>
      <c r="J11" s="249">
        <f t="shared" si="1"/>
        <v>15244026.969999999</v>
      </c>
      <c r="K11" s="252">
        <f>9419980.33+6129389.11+K10</f>
        <v>64742587.519999996</v>
      </c>
      <c r="L11" s="253">
        <f>L8*4</f>
        <v>60641000</v>
      </c>
      <c r="M11" s="249">
        <f t="shared" si="2"/>
        <v>4101587.5199999958</v>
      </c>
    </row>
    <row r="12" spans="1:14" ht="15" customHeight="1" x14ac:dyDescent="0.2">
      <c r="A12" s="246" t="s">
        <v>11</v>
      </c>
      <c r="B12" s="252">
        <f>2004469.84+56774422.53+B11</f>
        <v>484840384.69</v>
      </c>
      <c r="C12" s="253">
        <f>C8*5</f>
        <v>557530416.66666663</v>
      </c>
      <c r="D12" s="249">
        <f t="shared" si="3"/>
        <v>-72690031.976666629</v>
      </c>
      <c r="E12" s="247">
        <f>125317.62+3549485.53+E11</f>
        <v>30722130.009999998</v>
      </c>
      <c r="F12" s="253">
        <f>F8*5</f>
        <v>38191666.666666664</v>
      </c>
      <c r="G12" s="249">
        <f t="shared" si="0"/>
        <v>-7469536.6566666663</v>
      </c>
      <c r="H12" s="247">
        <f t="shared" si="4"/>
        <v>21357026.969999999</v>
      </c>
      <c r="I12" s="253">
        <f>I8*5</f>
        <v>7641250</v>
      </c>
      <c r="J12" s="249">
        <f t="shared" si="1"/>
        <v>13715776.969999999</v>
      </c>
      <c r="K12" s="252">
        <f>9168432.97+6536459.91+K11</f>
        <v>80447480.399999991</v>
      </c>
      <c r="L12" s="253">
        <f>L8*5</f>
        <v>75801250</v>
      </c>
      <c r="M12" s="249">
        <f>K12-L12</f>
        <v>4646230.3999999911</v>
      </c>
    </row>
    <row r="13" spans="1:14" ht="15" customHeight="1" x14ac:dyDescent="0.2">
      <c r="A13" s="246" t="s">
        <v>12</v>
      </c>
      <c r="B13" s="252">
        <f>35977548.35+68206281.57+B12</f>
        <v>589024214.61000001</v>
      </c>
      <c r="C13" s="253">
        <f>C8*6</f>
        <v>669036500</v>
      </c>
      <c r="D13" s="249">
        <f t="shared" si="3"/>
        <v>-80012285.389999986</v>
      </c>
      <c r="E13" s="247">
        <f>2249283.81+4264195+E12</f>
        <v>37235608.82</v>
      </c>
      <c r="F13" s="253">
        <f>F8*6</f>
        <v>45830000</v>
      </c>
      <c r="G13" s="249">
        <f t="shared" si="0"/>
        <v>-8594391.1799999997</v>
      </c>
      <c r="H13" s="247">
        <f t="shared" si="4"/>
        <v>21357026.969999999</v>
      </c>
      <c r="I13" s="253">
        <f>I8*6</f>
        <v>9169500</v>
      </c>
      <c r="J13" s="249">
        <f t="shared" si="1"/>
        <v>12187526.969999999</v>
      </c>
      <c r="K13" s="252">
        <f>11001173.45+10697735.43+K12</f>
        <v>102146389.27999999</v>
      </c>
      <c r="L13" s="253">
        <f>L8*6</f>
        <v>90961500</v>
      </c>
      <c r="M13" s="249">
        <f t="shared" si="2"/>
        <v>11184889.279999986</v>
      </c>
    </row>
    <row r="14" spans="1:14" ht="15" customHeight="1" x14ac:dyDescent="0.2">
      <c r="A14" s="246" t="s">
        <v>13</v>
      </c>
      <c r="B14" s="252">
        <f>44076616.51+79438257.43+B13</f>
        <v>712539088.54999995</v>
      </c>
      <c r="C14" s="253">
        <f>C8*7</f>
        <v>780542583.33333325</v>
      </c>
      <c r="D14" s="249">
        <f t="shared" si="3"/>
        <v>-68003494.783333302</v>
      </c>
      <c r="E14" s="247">
        <f>2755630.21+4966407.96+E13</f>
        <v>44957646.990000002</v>
      </c>
      <c r="F14" s="253">
        <f>F8*7</f>
        <v>53468333.333333328</v>
      </c>
      <c r="G14" s="249">
        <f t="shared" si="0"/>
        <v>-8510686.3433333263</v>
      </c>
      <c r="H14" s="247">
        <f>650350.31+11093401.22+H13</f>
        <v>33100778.5</v>
      </c>
      <c r="I14" s="253">
        <f>I8*7</f>
        <v>10697750</v>
      </c>
      <c r="J14" s="249">
        <f t="shared" si="1"/>
        <v>22403028.5</v>
      </c>
      <c r="K14" s="252">
        <f>14227638.72+9300473.08+K13</f>
        <v>125674501.07999998</v>
      </c>
      <c r="L14" s="253">
        <f>L8*7</f>
        <v>106121750</v>
      </c>
      <c r="M14" s="249">
        <f t="shared" si="2"/>
        <v>19552751.079999983</v>
      </c>
    </row>
    <row r="15" spans="1:14" ht="15" customHeight="1" x14ac:dyDescent="0.2">
      <c r="A15" s="246" t="s">
        <v>14</v>
      </c>
      <c r="B15" s="252">
        <f>44188494.26+73186240.75+B14</f>
        <v>829913823.55999994</v>
      </c>
      <c r="C15" s="253">
        <f>C8*8</f>
        <v>892048666.66666663</v>
      </c>
      <c r="D15" s="249">
        <f t="shared" si="3"/>
        <v>-62134843.106666684</v>
      </c>
      <c r="E15" s="247">
        <f>2762624.72+4575537.54+E14</f>
        <v>52295809.25</v>
      </c>
      <c r="F15" s="253">
        <f>F8*8</f>
        <v>61106666.666666664</v>
      </c>
      <c r="G15" s="249">
        <f t="shared" si="0"/>
        <v>-8810857.4166666642</v>
      </c>
      <c r="H15" s="247">
        <f t="shared" si="4"/>
        <v>33100778.5</v>
      </c>
      <c r="I15" s="253">
        <f>I8*8</f>
        <v>12226000</v>
      </c>
      <c r="J15" s="249">
        <f t="shared" si="1"/>
        <v>20874778.5</v>
      </c>
      <c r="K15" s="252">
        <f>12348218.67+7736406.98+K14</f>
        <v>145759126.72999999</v>
      </c>
      <c r="L15" s="253">
        <f>L8*8</f>
        <v>121282000</v>
      </c>
      <c r="M15" s="249">
        <f t="shared" si="2"/>
        <v>24477126.729999989</v>
      </c>
    </row>
    <row r="16" spans="1:14" ht="15" customHeight="1" x14ac:dyDescent="0.2">
      <c r="A16" s="246" t="s">
        <v>15</v>
      </c>
      <c r="B16" s="252">
        <f>52188094.85+63753153.74+B15</f>
        <v>945855072.14999998</v>
      </c>
      <c r="C16" s="253">
        <f>C8*9</f>
        <v>1003554750</v>
      </c>
      <c r="D16" s="249">
        <f t="shared" si="3"/>
        <v>-57699677.850000024</v>
      </c>
      <c r="E16" s="247">
        <f>3262752.47+3568591.08+E15</f>
        <v>59127152.799999997</v>
      </c>
      <c r="F16" s="253">
        <f>F8*9</f>
        <v>68745000</v>
      </c>
      <c r="G16" s="249">
        <f t="shared" si="0"/>
        <v>-9617847.200000003</v>
      </c>
      <c r="H16" s="247">
        <f>147225.63+15205558.03+H15</f>
        <v>48453562.159999996</v>
      </c>
      <c r="I16" s="253">
        <f>I8*9</f>
        <v>13754250</v>
      </c>
      <c r="J16" s="249">
        <f t="shared" si="1"/>
        <v>34699312.159999996</v>
      </c>
      <c r="K16" s="252">
        <f>19908622.59+6915062.59+K15</f>
        <v>172582811.91</v>
      </c>
      <c r="L16" s="253">
        <f>L8*9</f>
        <v>136442250</v>
      </c>
      <c r="M16" s="249">
        <f t="shared" si="2"/>
        <v>36140561.909999996</v>
      </c>
    </row>
    <row r="17" spans="1:13" ht="15" customHeight="1" x14ac:dyDescent="0.2">
      <c r="A17" s="246" t="s">
        <v>16</v>
      </c>
      <c r="B17" s="252">
        <f>45637287.49+77553780.72+B16</f>
        <v>1069046140.36</v>
      </c>
      <c r="C17" s="253">
        <f>C8*10</f>
        <v>1115060833.3333333</v>
      </c>
      <c r="D17" s="249">
        <f t="shared" si="3"/>
        <v>-46014692.97333324</v>
      </c>
      <c r="E17" s="247">
        <f>2831501+4811714.72+E16</f>
        <v>66770368.519999996</v>
      </c>
      <c r="F17" s="253">
        <f>F8*10</f>
        <v>76383333.333333328</v>
      </c>
      <c r="G17" s="249">
        <f t="shared" si="0"/>
        <v>-9612964.8133333325</v>
      </c>
      <c r="H17" s="247">
        <f>4840672.62+2246260.76+H16</f>
        <v>55540495.539999999</v>
      </c>
      <c r="I17" s="253">
        <f>I8*10</f>
        <v>15282500</v>
      </c>
      <c r="J17" s="249">
        <f t="shared" si="1"/>
        <v>40257995.539999999</v>
      </c>
      <c r="K17" s="252">
        <f>12755819.16+8391663.33+K16</f>
        <v>193730294.40000001</v>
      </c>
      <c r="L17" s="253">
        <f>L8*10</f>
        <v>151602500</v>
      </c>
      <c r="M17" s="249">
        <f t="shared" si="2"/>
        <v>42127794.400000006</v>
      </c>
    </row>
    <row r="18" spans="1:13" ht="15" customHeight="1" x14ac:dyDescent="0.2">
      <c r="A18" s="246" t="s">
        <v>17</v>
      </c>
      <c r="B18" s="252">
        <f>42026564.83+77558875.46+B17</f>
        <v>1188631580.6500001</v>
      </c>
      <c r="C18" s="253">
        <f>C8*11</f>
        <v>1226566916.6666665</v>
      </c>
      <c r="D18" s="249">
        <f t="shared" si="3"/>
        <v>-37935336.016666412</v>
      </c>
      <c r="E18" s="247">
        <f>2607478.82+4812030.86+E17</f>
        <v>74189878.199999988</v>
      </c>
      <c r="F18" s="253">
        <f>F8*11</f>
        <v>84021666.666666657</v>
      </c>
      <c r="G18" s="249">
        <f t="shared" si="0"/>
        <v>-9831788.4666666687</v>
      </c>
      <c r="H18" s="247">
        <f>2672222.02+3074919.85+H17</f>
        <v>61287637.409999996</v>
      </c>
      <c r="I18" s="253">
        <f>I8*11</f>
        <v>16810750</v>
      </c>
      <c r="J18" s="249">
        <f t="shared" si="1"/>
        <v>44476887.409999996</v>
      </c>
      <c r="K18" s="252">
        <f>10690741.24+7489240.39+K17</f>
        <v>211910276.03</v>
      </c>
      <c r="L18" s="253">
        <f>L8*11</f>
        <v>166762750</v>
      </c>
      <c r="M18" s="249">
        <f t="shared" si="2"/>
        <v>45147526.030000001</v>
      </c>
    </row>
    <row r="19" spans="1:13" ht="15" customHeight="1" thickBot="1" x14ac:dyDescent="0.25">
      <c r="A19" s="339" t="s">
        <v>18</v>
      </c>
      <c r="B19" s="252">
        <f>45694957.16+104589235.96+B18</f>
        <v>1338915773.77</v>
      </c>
      <c r="C19" s="332">
        <f>C8*12</f>
        <v>1338073000</v>
      </c>
      <c r="D19" s="249">
        <f t="shared" si="3"/>
        <v>842773.76999998093</v>
      </c>
      <c r="E19" s="247">
        <f>2835079.05+6489091.35+E18</f>
        <v>83514048.599999994</v>
      </c>
      <c r="F19" s="332">
        <f>F8*12</f>
        <v>91660000</v>
      </c>
      <c r="G19" s="249">
        <f t="shared" si="0"/>
        <v>-8145951.400000006</v>
      </c>
      <c r="H19" s="247">
        <f>2128815.8+25929949+H18</f>
        <v>89346402.209999993</v>
      </c>
      <c r="I19" s="332">
        <f>I8*12</f>
        <v>18339000</v>
      </c>
      <c r="J19" s="249">
        <f t="shared" si="1"/>
        <v>71007402.209999993</v>
      </c>
      <c r="K19" s="252">
        <f>9418272.55+10398452.15+K18</f>
        <v>231727000.73000002</v>
      </c>
      <c r="L19" s="332">
        <f>L8*12</f>
        <v>181923000</v>
      </c>
      <c r="M19" s="249">
        <f t="shared" si="2"/>
        <v>49804000.730000019</v>
      </c>
    </row>
    <row r="20" spans="1:13" ht="15" customHeight="1" thickBot="1" x14ac:dyDescent="0.25">
      <c r="A20" s="257" t="s">
        <v>19</v>
      </c>
      <c r="B20" s="345">
        <f>B19</f>
        <v>1338915773.77</v>
      </c>
      <c r="C20" s="258">
        <f>1712429000-374356000</f>
        <v>1338073000</v>
      </c>
      <c r="D20" s="259"/>
      <c r="E20" s="345">
        <f>E19</f>
        <v>83514048.599999994</v>
      </c>
      <c r="F20" s="258">
        <f>117304000-25644000</f>
        <v>91660000</v>
      </c>
      <c r="G20" s="260"/>
      <c r="H20" s="345">
        <f>H19</f>
        <v>89346402.209999993</v>
      </c>
      <c r="I20" s="258">
        <v>18339000</v>
      </c>
      <c r="J20" s="260"/>
      <c r="K20" s="345">
        <f>K19</f>
        <v>231727000.73000002</v>
      </c>
      <c r="L20" s="258">
        <v>181923000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3.5" customHeight="1" x14ac:dyDescent="0.2">
      <c r="A24" s="567" t="s">
        <v>2</v>
      </c>
      <c r="B24" s="576" t="s">
        <v>20</v>
      </c>
      <c r="C24" s="648"/>
      <c r="D24" s="649"/>
      <c r="E24" s="582" t="s">
        <v>21</v>
      </c>
      <c r="F24" s="648"/>
      <c r="G24" s="649"/>
      <c r="H24" s="583" t="s">
        <v>22</v>
      </c>
      <c r="I24" s="648"/>
      <c r="J24" s="649"/>
      <c r="K24" s="370"/>
    </row>
    <row r="25" spans="1:13" ht="13.5" customHeight="1" thickBot="1" x14ac:dyDescent="0.25">
      <c r="A25" s="645"/>
      <c r="B25" s="650"/>
      <c r="C25" s="651"/>
      <c r="D25" s="652"/>
      <c r="E25" s="650"/>
      <c r="F25" s="651"/>
      <c r="G25" s="652"/>
      <c r="H25" s="650"/>
      <c r="I25" s="651"/>
      <c r="J25" s="652"/>
      <c r="K25" s="370"/>
    </row>
    <row r="26" spans="1:13" ht="13.5" customHeight="1" x14ac:dyDescent="0.2">
      <c r="A26" s="645"/>
      <c r="B26" s="563" t="s">
        <v>24</v>
      </c>
      <c r="C26" s="557" t="s">
        <v>31</v>
      </c>
      <c r="D26" s="559" t="s">
        <v>32</v>
      </c>
      <c r="E26" s="563" t="s">
        <v>25</v>
      </c>
      <c r="F26" s="557" t="s">
        <v>31</v>
      </c>
      <c r="G26" s="559" t="s">
        <v>32</v>
      </c>
      <c r="H26" s="566" t="s">
        <v>19</v>
      </c>
      <c r="I26" s="557" t="s">
        <v>31</v>
      </c>
      <c r="J26" s="559" t="s">
        <v>32</v>
      </c>
      <c r="K26" s="553" t="s">
        <v>148</v>
      </c>
    </row>
    <row r="27" spans="1:13" ht="13.5" customHeight="1" thickBot="1" x14ac:dyDescent="0.25">
      <c r="A27" s="646"/>
      <c r="B27" s="655"/>
      <c r="C27" s="635"/>
      <c r="D27" s="634"/>
      <c r="E27" s="655"/>
      <c r="F27" s="654"/>
      <c r="G27" s="634"/>
      <c r="H27" s="636"/>
      <c r="I27" s="635"/>
      <c r="J27" s="634"/>
      <c r="K27" s="653"/>
    </row>
    <row r="28" spans="1:13" ht="15" customHeight="1" x14ac:dyDescent="0.2">
      <c r="A28" s="261" t="s">
        <v>7</v>
      </c>
      <c r="B28" s="262">
        <f>76527199.62+5307600.21</f>
        <v>81834799.829999998</v>
      </c>
      <c r="C28" s="248">
        <f>C40/12</f>
        <v>151061000</v>
      </c>
      <c r="D28" s="251">
        <f>B28-C28</f>
        <v>-69226200.170000002</v>
      </c>
      <c r="E28" s="263">
        <f>313177096.32+26121844.45</f>
        <v>339298940.76999998</v>
      </c>
      <c r="F28" s="264">
        <f>F40/12</f>
        <v>346383916.66666669</v>
      </c>
      <c r="G28" s="265">
        <f>E28-F28</f>
        <v>-7084975.8966667056</v>
      </c>
      <c r="H28" s="266">
        <f t="shared" ref="H28:H40" si="5">$B8+$E8+$H8+$K8+$B28+$E28</f>
        <v>655330022.90999997</v>
      </c>
      <c r="I28" s="264">
        <f>I40/12</f>
        <v>633277833.33333337</v>
      </c>
      <c r="J28" s="267">
        <f>H28-I28</f>
        <v>22052189.576666594</v>
      </c>
      <c r="K28" s="268">
        <f>J28/I40</f>
        <v>2.9018581860813849E-3</v>
      </c>
    </row>
    <row r="29" spans="1:13" ht="15" customHeight="1" x14ac:dyDescent="0.2">
      <c r="A29" s="269" t="s">
        <v>8</v>
      </c>
      <c r="B29" s="270">
        <f>5583118.31+6616387.11+B28</f>
        <v>94034305.25</v>
      </c>
      <c r="C29" s="253">
        <f>C28*2</f>
        <v>302122000</v>
      </c>
      <c r="D29" s="249">
        <f t="shared" ref="D29:D39" si="6">B29-C29</f>
        <v>-208087694.75</v>
      </c>
      <c r="E29" s="271">
        <f>413944034.67+29612287.85+E28</f>
        <v>782855263.28999996</v>
      </c>
      <c r="F29" s="254">
        <f>F28*2</f>
        <v>692767833.33333337</v>
      </c>
      <c r="G29" s="249">
        <f t="shared" ref="G29:G39" si="7">E29-F29</f>
        <v>90087429.956666589</v>
      </c>
      <c r="H29" s="256">
        <f t="shared" si="5"/>
        <v>1261535447.1399999</v>
      </c>
      <c r="I29" s="254">
        <f>I28*2</f>
        <v>1266555666.6666667</v>
      </c>
      <c r="J29" s="249">
        <f t="shared" ref="J29:J39" si="8">H29-I29</f>
        <v>-5020219.5266668797</v>
      </c>
      <c r="K29" s="272">
        <f>J29/I40</f>
        <v>-6.6061309144549766E-4</v>
      </c>
    </row>
    <row r="30" spans="1:13" ht="15" customHeight="1" x14ac:dyDescent="0.2">
      <c r="A30" s="269" t="s">
        <v>9</v>
      </c>
      <c r="B30" s="273">
        <f>7992814.1+306349934.93+B29</f>
        <v>408377054.28000003</v>
      </c>
      <c r="C30" s="254">
        <f>C28*3</f>
        <v>453183000</v>
      </c>
      <c r="D30" s="249">
        <f t="shared" si="6"/>
        <v>-44805945.719999969</v>
      </c>
      <c r="E30" s="271">
        <f>144165907.52+28299681.67+E29</f>
        <v>955320852.48000002</v>
      </c>
      <c r="F30" s="254">
        <f>F28*3</f>
        <v>1039151750</v>
      </c>
      <c r="G30" s="249">
        <f t="shared" si="7"/>
        <v>-83830897.519999981</v>
      </c>
      <c r="H30" s="255">
        <f t="shared" si="5"/>
        <v>1861043827.03</v>
      </c>
      <c r="I30" s="254">
        <f>I28*3</f>
        <v>1899833500</v>
      </c>
      <c r="J30" s="249">
        <f t="shared" si="8"/>
        <v>-38789672.970000029</v>
      </c>
      <c r="K30" s="272">
        <f>J30/I40</f>
        <v>-5.104351640551663E-3</v>
      </c>
    </row>
    <row r="31" spans="1:13" ht="15" customHeight="1" x14ac:dyDescent="0.2">
      <c r="A31" s="269" t="s">
        <v>10</v>
      </c>
      <c r="B31" s="270">
        <f>71398171.76+15279257.87+B30</f>
        <v>495054483.91000003</v>
      </c>
      <c r="C31" s="253">
        <f>C28*4</f>
        <v>604244000</v>
      </c>
      <c r="D31" s="249">
        <f t="shared" si="6"/>
        <v>-109189516.08999997</v>
      </c>
      <c r="E31" s="271">
        <f>239757470.93+21927693.54+E30</f>
        <v>1217006016.95</v>
      </c>
      <c r="F31" s="253">
        <f>F28*4</f>
        <v>1385535666.6666667</v>
      </c>
      <c r="G31" s="249">
        <f t="shared" si="7"/>
        <v>-168529649.7166667</v>
      </c>
      <c r="H31" s="255">
        <f t="shared" si="5"/>
        <v>2251268934.5299997</v>
      </c>
      <c r="I31" s="253">
        <f>I28*4</f>
        <v>2533111333.3333335</v>
      </c>
      <c r="J31" s="249">
        <f t="shared" si="8"/>
        <v>-281842398.80333376</v>
      </c>
      <c r="K31" s="272">
        <f>J31/I40</f>
        <v>-3.7087776218723084E-2</v>
      </c>
    </row>
    <row r="32" spans="1:13" ht="15" customHeight="1" x14ac:dyDescent="0.2">
      <c r="A32" s="269" t="s">
        <v>11</v>
      </c>
      <c r="B32" s="273">
        <f>5575642.78+9072373.08+B31</f>
        <v>509702499.77000004</v>
      </c>
      <c r="C32" s="253">
        <f>C28*5</f>
        <v>755305000</v>
      </c>
      <c r="D32" s="249">
        <f t="shared" si="6"/>
        <v>-245602500.22999996</v>
      </c>
      <c r="E32" s="271">
        <f>420874020.88+13829504.42+E31</f>
        <v>1651709542.25</v>
      </c>
      <c r="F32" s="253">
        <f>F28*5</f>
        <v>1731919583.3333335</v>
      </c>
      <c r="G32" s="249">
        <f t="shared" si="7"/>
        <v>-80210041.083333492</v>
      </c>
      <c r="H32" s="255">
        <f t="shared" si="5"/>
        <v>2778779064.0900002</v>
      </c>
      <c r="I32" s="253">
        <f>I28*5</f>
        <v>3166389166.666667</v>
      </c>
      <c r="J32" s="249">
        <f t="shared" si="8"/>
        <v>-387610102.57666683</v>
      </c>
      <c r="K32" s="272">
        <f>J32/I40</f>
        <v>-5.1005799005105823E-2</v>
      </c>
    </row>
    <row r="33" spans="1:13" ht="15" customHeight="1" x14ac:dyDescent="0.2">
      <c r="A33" s="269" t="s">
        <v>12</v>
      </c>
      <c r="B33" s="270">
        <f>29645714.43+333720237.8+B32</f>
        <v>873068452</v>
      </c>
      <c r="C33" s="253">
        <f>C28*6</f>
        <v>906366000</v>
      </c>
      <c r="D33" s="249">
        <f t="shared" si="6"/>
        <v>-33297548</v>
      </c>
      <c r="E33" s="271">
        <f>284288986.07+26346644.78+E32</f>
        <v>1962345173.0999999</v>
      </c>
      <c r="F33" s="253">
        <f>F28*6</f>
        <v>2078303500</v>
      </c>
      <c r="G33" s="249">
        <f t="shared" si="7"/>
        <v>-115958326.9000001</v>
      </c>
      <c r="H33" s="255">
        <f t="shared" si="5"/>
        <v>3585176864.7799997</v>
      </c>
      <c r="I33" s="253">
        <f>I28*6</f>
        <v>3799667000</v>
      </c>
      <c r="J33" s="249">
        <f t="shared" si="8"/>
        <v>-214490135.22000027</v>
      </c>
      <c r="K33" s="272">
        <f>J33/I40</f>
        <v>-2.8224859602170436E-2</v>
      </c>
    </row>
    <row r="34" spans="1:13" ht="15" customHeight="1" x14ac:dyDescent="0.2">
      <c r="A34" s="269" t="s">
        <v>13</v>
      </c>
      <c r="B34" s="273">
        <f>284126154.87+129333701.96+B33</f>
        <v>1286528308.8299999</v>
      </c>
      <c r="C34" s="253">
        <f>C28*7</f>
        <v>1057427000</v>
      </c>
      <c r="D34" s="249">
        <f t="shared" si="6"/>
        <v>229101308.82999992</v>
      </c>
      <c r="E34" s="271">
        <f>337902542.89+36332925.72+E33</f>
        <v>2336580641.71</v>
      </c>
      <c r="F34" s="253">
        <f>F28*7</f>
        <v>2424687416.666667</v>
      </c>
      <c r="G34" s="249">
        <f t="shared" si="7"/>
        <v>-88106774.956666946</v>
      </c>
      <c r="H34" s="255">
        <f t="shared" si="5"/>
        <v>4539380965.6599998</v>
      </c>
      <c r="I34" s="253">
        <f>I28*7</f>
        <v>4432944833.333334</v>
      </c>
      <c r="J34" s="249">
        <f t="shared" si="8"/>
        <v>106436132.32666588</v>
      </c>
      <c r="K34" s="272">
        <f>J34/I40</f>
        <v>1.4005981619792718E-2</v>
      </c>
    </row>
    <row r="35" spans="1:13" ht="15" customHeight="1" x14ac:dyDescent="0.2">
      <c r="A35" s="269" t="s">
        <v>14</v>
      </c>
      <c r="B35" s="270">
        <f t="shared" ref="B35" si="9">0+B34</f>
        <v>1286528308.8299999</v>
      </c>
      <c r="C35" s="253">
        <f>C28*8</f>
        <v>1208488000</v>
      </c>
      <c r="D35" s="249">
        <f t="shared" si="6"/>
        <v>78040308.829999924</v>
      </c>
      <c r="E35" s="271">
        <f>446252397.35+24651046.95+E34</f>
        <v>2807484086.0100002</v>
      </c>
      <c r="F35" s="253">
        <f>F28*8</f>
        <v>2771071333.3333335</v>
      </c>
      <c r="G35" s="249">
        <f t="shared" si="7"/>
        <v>36412752.676666737</v>
      </c>
      <c r="H35" s="255">
        <f t="shared" si="5"/>
        <v>5155081932.8800001</v>
      </c>
      <c r="I35" s="253">
        <f>I28*8</f>
        <v>5066222666.666667</v>
      </c>
      <c r="J35" s="249">
        <f t="shared" si="8"/>
        <v>88859266.21333313</v>
      </c>
      <c r="K35" s="272">
        <f>J35/I40</f>
        <v>1.1693033391259435E-2</v>
      </c>
    </row>
    <row r="36" spans="1:13" ht="15" customHeight="1" x14ac:dyDescent="0.2">
      <c r="A36" s="269" t="s">
        <v>15</v>
      </c>
      <c r="B36" s="273">
        <f>263994552.93+B35</f>
        <v>1550522861.76</v>
      </c>
      <c r="C36" s="253">
        <f>C28*9</f>
        <v>1359549000</v>
      </c>
      <c r="D36" s="249">
        <f t="shared" si="6"/>
        <v>190973861.75999999</v>
      </c>
      <c r="E36" s="271">
        <f>287100700.8+E35</f>
        <v>3094584786.8100004</v>
      </c>
      <c r="F36" s="253">
        <f>F28*9</f>
        <v>3117455250</v>
      </c>
      <c r="G36" s="249">
        <f t="shared" si="7"/>
        <v>-22870463.18999958</v>
      </c>
      <c r="H36" s="255">
        <f t="shared" si="5"/>
        <v>5871126247.5900002</v>
      </c>
      <c r="I36" s="253">
        <f>I28*9</f>
        <v>5699500500</v>
      </c>
      <c r="J36" s="249">
        <f t="shared" si="8"/>
        <v>171625747.59000015</v>
      </c>
      <c r="K36" s="272">
        <f>J36/I40</f>
        <v>2.2584314308332829E-2</v>
      </c>
    </row>
    <row r="37" spans="1:13" ht="15" customHeight="1" x14ac:dyDescent="0.2">
      <c r="A37" s="269" t="s">
        <v>16</v>
      </c>
      <c r="B37" s="270">
        <f>52877050.05+7639830.96+B36</f>
        <v>1611039742.77</v>
      </c>
      <c r="C37" s="253">
        <f>C28*10</f>
        <v>1510610000</v>
      </c>
      <c r="D37" s="249">
        <f t="shared" si="6"/>
        <v>100429742.76999998</v>
      </c>
      <c r="E37" s="271">
        <f>313258090.19+32269147.99+E36</f>
        <v>3440112024.9900002</v>
      </c>
      <c r="F37" s="253">
        <f>F28*10</f>
        <v>3463839166.666667</v>
      </c>
      <c r="G37" s="249">
        <f>E37-F37</f>
        <v>-23727141.676666737</v>
      </c>
      <c r="H37" s="255">
        <f t="shared" si="5"/>
        <v>6436239066.5799999</v>
      </c>
      <c r="I37" s="253">
        <f>I28*10</f>
        <v>6332778333.333334</v>
      </c>
      <c r="J37" s="249">
        <f t="shared" si="8"/>
        <v>103460733.24666595</v>
      </c>
      <c r="K37" s="272">
        <f>J37/I40</f>
        <v>1.3614447430086104E-2</v>
      </c>
    </row>
    <row r="38" spans="1:13" ht="15" customHeight="1" x14ac:dyDescent="0.2">
      <c r="A38" s="269" t="s">
        <v>17</v>
      </c>
      <c r="B38" s="270">
        <f>9158609.11+355224.43+B37</f>
        <v>1620553576.3099999</v>
      </c>
      <c r="C38" s="253">
        <f>C28*11</f>
        <v>1661671000</v>
      </c>
      <c r="D38" s="249">
        <f t="shared" si="6"/>
        <v>-41117423.690000057</v>
      </c>
      <c r="E38" s="271">
        <f>461382635.84+32659137.57+E37</f>
        <v>3934153798.4000001</v>
      </c>
      <c r="F38" s="253">
        <f>F28*11</f>
        <v>3810223083.3333335</v>
      </c>
      <c r="G38" s="249">
        <f t="shared" si="7"/>
        <v>123930715.0666666</v>
      </c>
      <c r="H38" s="255">
        <f t="shared" si="5"/>
        <v>7090726747</v>
      </c>
      <c r="I38" s="253">
        <f>I28*11</f>
        <v>6966056166.666667</v>
      </c>
      <c r="J38" s="249">
        <f t="shared" si="8"/>
        <v>124670580.33333302</v>
      </c>
      <c r="K38" s="272">
        <f>J38/I40</f>
        <v>1.640546136455287E-2</v>
      </c>
    </row>
    <row r="39" spans="1:13" ht="15" customHeight="1" thickBot="1" x14ac:dyDescent="0.25">
      <c r="A39" s="340" t="s">
        <v>18</v>
      </c>
      <c r="B39" s="335">
        <f>5999076.79+328478961.77+B38</f>
        <v>1955031614.8699999</v>
      </c>
      <c r="C39" s="332">
        <f>C28*12</f>
        <v>1812732000</v>
      </c>
      <c r="D39" s="410">
        <f t="shared" si="6"/>
        <v>142299614.86999989</v>
      </c>
      <c r="E39" s="271">
        <f>394175510.05+44979968.24+E38</f>
        <v>4373309276.6900005</v>
      </c>
      <c r="F39" s="332">
        <f>F28*12</f>
        <v>4156607000</v>
      </c>
      <c r="G39" s="249">
        <f t="shared" si="7"/>
        <v>216702276.69000053</v>
      </c>
      <c r="H39" s="275">
        <f t="shared" si="5"/>
        <v>8071844116.8700008</v>
      </c>
      <c r="I39" s="338">
        <f>I28*12</f>
        <v>7599334000</v>
      </c>
      <c r="J39" s="411">
        <f t="shared" si="8"/>
        <v>472510116.87000084</v>
      </c>
      <c r="K39" s="272">
        <f>J39/I40</f>
        <v>6.2177832540325356E-2</v>
      </c>
    </row>
    <row r="40" spans="1:13" ht="15" customHeight="1" thickBot="1" x14ac:dyDescent="0.25">
      <c r="A40" s="257" t="s">
        <v>19</v>
      </c>
      <c r="B40" s="347">
        <f>B39</f>
        <v>1955031614.8699999</v>
      </c>
      <c r="C40" s="276">
        <f>1412732000+400000000</f>
        <v>1812732000</v>
      </c>
      <c r="D40" s="277"/>
      <c r="E40" s="345">
        <f>E39</f>
        <v>4373309276.6900005</v>
      </c>
      <c r="F40" s="258">
        <f>3756607000+400000000</f>
        <v>4156607000</v>
      </c>
      <c r="G40" s="278"/>
      <c r="H40" s="351">
        <f t="shared" si="5"/>
        <v>8071844116.8700008</v>
      </c>
      <c r="I40" s="279">
        <f>C20+F20+I20+L20+C40+F40</f>
        <v>7599334000</v>
      </c>
      <c r="J40" s="280"/>
      <c r="K40" s="350"/>
    </row>
    <row r="41" spans="1:13" x14ac:dyDescent="0.2">
      <c r="A41" s="659" t="s">
        <v>147</v>
      </c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42:M42"/>
    <mergeCell ref="E26:E27"/>
    <mergeCell ref="F26:F27"/>
    <mergeCell ref="G26:G27"/>
    <mergeCell ref="H26:H27"/>
    <mergeCell ref="I26:I27"/>
    <mergeCell ref="J26:J2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fitToHeight="0" orientation="landscape" r:id="rId1"/>
  <headerFooter alignWithMargins="0"/>
  <ignoredErrors>
    <ignoredError sqref="H14" formula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FF86A-678F-4F66-A85B-59F7921B9F99}">
  <sheetPr>
    <tabColor theme="5" tint="-0.499984740745262"/>
  </sheetPr>
  <dimension ref="A1:S76"/>
  <sheetViews>
    <sheetView showGridLines="0" zoomScale="160" zoomScaleNormal="160" zoomScaleSheetLayoutView="160" workbookViewId="0">
      <selection sqref="A1:M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6" width="9.140625" style="1"/>
    <col min="17" max="17" width="13.140625" style="1" customWidth="1"/>
    <col min="18" max="19" width="9.140625" style="1"/>
    <col min="20" max="20" width="3.7109375" style="1" customWidth="1"/>
    <col min="21" max="16384" width="9.140625" style="1"/>
  </cols>
  <sheetData>
    <row r="1" spans="1:19" ht="28.5" x14ac:dyDescent="0.45">
      <c r="A1" s="656" t="s">
        <v>139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451"/>
      <c r="Q1" s="451"/>
      <c r="R1" s="452"/>
      <c r="S1" s="452"/>
    </row>
    <row r="2" spans="1:19" ht="20.25" x14ac:dyDescent="0.3">
      <c r="A2" s="587" t="s">
        <v>146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37" spans="1:19" x14ac:dyDescent="0.2">
      <c r="I37" s="61" t="s">
        <v>35</v>
      </c>
    </row>
    <row r="38" spans="1:19" ht="28.5" x14ac:dyDescent="0.45">
      <c r="A38" s="656" t="s">
        <v>140</v>
      </c>
      <c r="B38" s="592"/>
      <c r="C38" s="592"/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452"/>
      <c r="Q38" s="452"/>
      <c r="R38" s="452"/>
      <c r="S38" s="452"/>
    </row>
    <row r="39" spans="1:19" ht="20.25" x14ac:dyDescent="0.3">
      <c r="A39" s="587" t="s">
        <v>146</v>
      </c>
      <c r="B39" s="592"/>
      <c r="C39" s="592"/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/>
      <c r="Q39"/>
      <c r="R39"/>
      <c r="S39"/>
    </row>
    <row r="40" spans="1:19" ht="12.75" customHeight="1" x14ac:dyDescent="0.2"/>
    <row r="61" spans="11:19" x14ac:dyDescent="0.2">
      <c r="K61" s="632"/>
      <c r="L61" s="633"/>
      <c r="M61" s="633"/>
      <c r="N61" s="633"/>
      <c r="O61" s="633"/>
      <c r="P61" s="633"/>
      <c r="Q61" s="633"/>
      <c r="R61" s="633"/>
      <c r="S61" s="633"/>
    </row>
    <row r="76" spans="1:11" x14ac:dyDescent="0.2">
      <c r="A76" s="684" t="s">
        <v>147</v>
      </c>
      <c r="B76" s="684"/>
      <c r="C76" s="684"/>
      <c r="D76" s="684"/>
      <c r="E76" s="684"/>
      <c r="F76" s="684"/>
      <c r="G76" s="684"/>
      <c r="H76" s="684"/>
      <c r="I76" s="684"/>
      <c r="J76" s="684"/>
      <c r="K76" s="684"/>
    </row>
  </sheetData>
  <mergeCells count="6">
    <mergeCell ref="A76:K76"/>
    <mergeCell ref="A1:O1"/>
    <mergeCell ref="A2:O2"/>
    <mergeCell ref="A38:O38"/>
    <mergeCell ref="A39:O39"/>
    <mergeCell ref="K61:S61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/>
  <rowBreaks count="1" manualBreakCount="1">
    <brk id="37" max="14" man="1"/>
  </rowBreak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5" tint="-0.499984740745262"/>
    <pageSetUpPr fitToPage="1"/>
  </sheetPr>
  <dimension ref="A1:S42"/>
  <sheetViews>
    <sheetView showGridLines="0" zoomScale="130" zoomScaleNormal="130" workbookViewId="0">
      <pane xSplit="1" topLeftCell="B1" activePane="topRight" state="frozen"/>
      <selection sqref="A1:M1"/>
      <selection pane="topRight" sqref="A1:M1"/>
    </sheetView>
  </sheetViews>
  <sheetFormatPr defaultColWidth="9.140625" defaultRowHeight="12.75" x14ac:dyDescent="0.2"/>
  <cols>
    <col min="1" max="1" width="8.7109375" style="66" customWidth="1"/>
    <col min="2" max="4" width="11.7109375" style="66" customWidth="1"/>
    <col min="5" max="5" width="12.7109375" style="212" customWidth="1"/>
    <col min="6" max="8" width="11.7109375" style="66" customWidth="1"/>
    <col min="9" max="9" width="12.7109375" style="212" customWidth="1"/>
    <col min="10" max="12" width="11.7109375" style="66" customWidth="1"/>
    <col min="13" max="13" width="12.7109375" style="212" customWidth="1"/>
    <col min="14" max="16" width="11.7109375" style="66" customWidth="1"/>
    <col min="17" max="17" width="12.7109375" style="212" customWidth="1"/>
    <col min="18" max="18" width="9.7109375" style="66" customWidth="1"/>
    <col min="19" max="19" width="12.42578125" style="66" customWidth="1"/>
    <col min="20" max="21" width="9.7109375" style="66" customWidth="1"/>
    <col min="22" max="22" width="11" style="66" customWidth="1"/>
    <col min="23" max="16384" width="9.140625" style="66"/>
  </cols>
  <sheetData>
    <row r="1" spans="1:19" ht="20.25" x14ac:dyDescent="0.3">
      <c r="A1" s="585" t="s">
        <v>141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</row>
    <row r="2" spans="1:19" ht="20.25" x14ac:dyDescent="0.3">
      <c r="A2" s="587" t="s">
        <v>65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</row>
    <row r="3" spans="1:19" ht="13.5" customHeight="1" x14ac:dyDescent="0.2">
      <c r="A3" s="666" t="s">
        <v>149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</row>
    <row r="4" spans="1:19" ht="13.5" customHeight="1" thickBot="1" x14ac:dyDescent="0.25">
      <c r="B4" s="67"/>
      <c r="C4" s="68"/>
      <c r="D4" s="68"/>
      <c r="E4" s="203"/>
      <c r="F4" s="69"/>
      <c r="G4" s="69"/>
      <c r="H4" s="71"/>
      <c r="I4" s="204"/>
      <c r="J4" s="70"/>
      <c r="K4" s="70"/>
      <c r="L4" s="71"/>
      <c r="M4" s="204"/>
      <c r="N4" s="71"/>
      <c r="O4" s="71"/>
      <c r="P4" s="72"/>
      <c r="Q4" s="381" t="s">
        <v>59</v>
      </c>
    </row>
    <row r="5" spans="1:19" ht="13.5" customHeight="1" x14ac:dyDescent="0.2">
      <c r="A5" s="660" t="s">
        <v>2</v>
      </c>
      <c r="B5" s="668" t="s">
        <v>101</v>
      </c>
      <c r="C5" s="668"/>
      <c r="D5" s="668"/>
      <c r="E5" s="669"/>
      <c r="F5" s="589" t="s">
        <v>102</v>
      </c>
      <c r="G5" s="672"/>
      <c r="H5" s="672"/>
      <c r="I5" s="673"/>
      <c r="J5" s="675" t="s">
        <v>143</v>
      </c>
      <c r="K5" s="676"/>
      <c r="L5" s="676"/>
      <c r="M5" s="677"/>
      <c r="N5" s="678" t="s">
        <v>103</v>
      </c>
      <c r="O5" s="640"/>
      <c r="P5" s="640"/>
      <c r="Q5" s="641"/>
    </row>
    <row r="6" spans="1:19" ht="13.5" customHeight="1" thickBot="1" x14ac:dyDescent="0.25">
      <c r="A6" s="661"/>
      <c r="B6" s="670"/>
      <c r="C6" s="670"/>
      <c r="D6" s="670"/>
      <c r="E6" s="671"/>
      <c r="F6" s="674"/>
      <c r="G6" s="670"/>
      <c r="H6" s="670"/>
      <c r="I6" s="671"/>
      <c r="J6" s="674"/>
      <c r="K6" s="670"/>
      <c r="L6" s="670"/>
      <c r="M6" s="671"/>
      <c r="N6" s="642"/>
      <c r="O6" s="643"/>
      <c r="P6" s="643"/>
      <c r="Q6" s="644"/>
    </row>
    <row r="7" spans="1:19" ht="13.5" customHeight="1" x14ac:dyDescent="0.2">
      <c r="A7" s="661"/>
      <c r="B7" s="206"/>
      <c r="C7" s="206"/>
      <c r="D7" s="207"/>
      <c r="E7" s="382" t="s">
        <v>142</v>
      </c>
      <c r="F7" s="208"/>
      <c r="G7" s="206"/>
      <c r="H7" s="207"/>
      <c r="I7" s="382" t="s">
        <v>142</v>
      </c>
      <c r="J7" s="209"/>
      <c r="K7" s="209"/>
      <c r="L7" s="207"/>
      <c r="M7" s="382" t="s">
        <v>142</v>
      </c>
      <c r="N7" s="206"/>
      <c r="O7" s="206"/>
      <c r="P7" s="207"/>
      <c r="Q7" s="382" t="s">
        <v>142</v>
      </c>
    </row>
    <row r="8" spans="1:19" ht="13.5" customHeight="1" thickBot="1" x14ac:dyDescent="0.25">
      <c r="A8" s="662"/>
      <c r="B8" s="210" t="s">
        <v>104</v>
      </c>
      <c r="C8" s="210" t="s">
        <v>115</v>
      </c>
      <c r="D8" s="211" t="s">
        <v>129</v>
      </c>
      <c r="E8" s="384"/>
      <c r="F8" s="210" t="s">
        <v>104</v>
      </c>
      <c r="G8" s="210" t="s">
        <v>115</v>
      </c>
      <c r="H8" s="211" t="s">
        <v>129</v>
      </c>
      <c r="I8" s="384"/>
      <c r="J8" s="210" t="s">
        <v>104</v>
      </c>
      <c r="K8" s="210" t="s">
        <v>115</v>
      </c>
      <c r="L8" s="211" t="s">
        <v>129</v>
      </c>
      <c r="M8" s="384"/>
      <c r="N8" s="210" t="s">
        <v>104</v>
      </c>
      <c r="O8" s="210" t="s">
        <v>115</v>
      </c>
      <c r="P8" s="211" t="s">
        <v>129</v>
      </c>
      <c r="Q8" s="384"/>
    </row>
    <row r="9" spans="1:19" ht="15.95" customHeight="1" x14ac:dyDescent="0.2">
      <c r="A9" s="386" t="s">
        <v>7</v>
      </c>
      <c r="B9" s="387">
        <v>151081324.05000001</v>
      </c>
      <c r="C9" s="387">
        <v>172935264.22</v>
      </c>
      <c r="D9" s="387">
        <v>183037499.32999998</v>
      </c>
      <c r="E9" s="388">
        <f>68481724.82+131290561.74</f>
        <v>199772286.56</v>
      </c>
      <c r="F9" s="389">
        <v>10349353.879999999</v>
      </c>
      <c r="G9" s="389">
        <v>11820493.530000001</v>
      </c>
      <c r="H9" s="387">
        <v>12493363.52</v>
      </c>
      <c r="I9" s="388">
        <f>4691763.17+8208167.24</f>
        <v>12899930.41</v>
      </c>
      <c r="J9" s="387">
        <v>3687417</v>
      </c>
      <c r="K9" s="387">
        <v>4799314.12</v>
      </c>
      <c r="L9" s="387">
        <v>3520356.96</v>
      </c>
      <c r="M9" s="388">
        <f>3015395.21+1151297.8</f>
        <v>4166693.01</v>
      </c>
      <c r="N9" s="387">
        <v>10395611.68</v>
      </c>
      <c r="O9" s="387">
        <v>13739311.300000001</v>
      </c>
      <c r="P9" s="387">
        <v>14595793.41</v>
      </c>
      <c r="Q9" s="388">
        <f>10980312+6377060.33</f>
        <v>17357372.329999998</v>
      </c>
      <c r="S9" s="212"/>
    </row>
    <row r="10" spans="1:19" ht="15.95" customHeight="1" x14ac:dyDescent="0.2">
      <c r="A10" s="390" t="s">
        <v>8</v>
      </c>
      <c r="B10" s="391">
        <v>147933278.06999999</v>
      </c>
      <c r="C10" s="391">
        <v>162742178.75</v>
      </c>
      <c r="D10" s="391">
        <v>169215452.51999998</v>
      </c>
      <c r="E10" s="392">
        <f>64750495.25+55306112.21</f>
        <v>120056607.46000001</v>
      </c>
      <c r="F10" s="391">
        <v>10170358.280000001</v>
      </c>
      <c r="G10" s="391">
        <v>11123774.470000001</v>
      </c>
      <c r="H10" s="391">
        <v>11549929.32</v>
      </c>
      <c r="I10" s="392">
        <f>4048142.41+3457688.08</f>
        <v>7505830.4900000002</v>
      </c>
      <c r="J10" s="391">
        <v>1875448.48</v>
      </c>
      <c r="K10" s="391">
        <v>2574252.66</v>
      </c>
      <c r="L10" s="391">
        <v>2430649.3200000003</v>
      </c>
      <c r="M10" s="392">
        <f>1440580.31+2669275.77</f>
        <v>4109856.08</v>
      </c>
      <c r="N10" s="391">
        <v>15281464.699999999</v>
      </c>
      <c r="O10" s="391">
        <v>15807596.77</v>
      </c>
      <c r="P10" s="391">
        <v>17133882.859999999</v>
      </c>
      <c r="Q10" s="392">
        <f>12998962.61+5778339.65</f>
        <v>18777302.259999998</v>
      </c>
    </row>
    <row r="11" spans="1:19" ht="15.95" customHeight="1" x14ac:dyDescent="0.2">
      <c r="A11" s="390" t="s">
        <v>9</v>
      </c>
      <c r="B11" s="391">
        <v>122404952.69</v>
      </c>
      <c r="C11" s="391">
        <v>137450893.87</v>
      </c>
      <c r="D11" s="391">
        <v>155784483.44</v>
      </c>
      <c r="E11" s="392">
        <f>34283662.72+47184068.7</f>
        <v>81467731.420000002</v>
      </c>
      <c r="F11" s="391">
        <v>8415295.3399999999</v>
      </c>
      <c r="G11" s="391">
        <v>9395061.2599999998</v>
      </c>
      <c r="H11" s="391">
        <v>10633188.300000001</v>
      </c>
      <c r="I11" s="392">
        <f>2143383.57+2949905.31</f>
        <v>5093288.88</v>
      </c>
      <c r="J11" s="391">
        <v>5404523.2699999996</v>
      </c>
      <c r="K11" s="391">
        <v>5549093.5300000003</v>
      </c>
      <c r="L11" s="391">
        <v>7287228.959999999</v>
      </c>
      <c r="M11" s="392">
        <f>4228458.38+8852019.5</f>
        <v>13080477.879999999</v>
      </c>
      <c r="N11" s="391">
        <v>8558006.4400000013</v>
      </c>
      <c r="O11" s="391">
        <v>9805916.5700000003</v>
      </c>
      <c r="P11" s="391">
        <v>11805854.23</v>
      </c>
      <c r="Q11" s="392">
        <f>6373683.74+6684859.75</f>
        <v>13058543.49</v>
      </c>
    </row>
    <row r="12" spans="1:19" ht="15.95" customHeight="1" x14ac:dyDescent="0.2">
      <c r="A12" s="390" t="s">
        <v>10</v>
      </c>
      <c r="B12" s="391">
        <v>103188106.55</v>
      </c>
      <c r="C12" s="391">
        <v>125226722.01000001</v>
      </c>
      <c r="D12" s="391">
        <v>129099977.53</v>
      </c>
      <c r="E12" s="392">
        <f>3878056.53+20886810.35</f>
        <v>24764866.880000003</v>
      </c>
      <c r="F12" s="391">
        <v>7094144.2599999998</v>
      </c>
      <c r="G12" s="391">
        <v>8559513.0999999996</v>
      </c>
      <c r="H12" s="391">
        <v>8811817.0600000005</v>
      </c>
      <c r="I12" s="392">
        <f>242452.57+1305824.51</f>
        <v>1548277.08</v>
      </c>
      <c r="J12" s="391">
        <v>0</v>
      </c>
      <c r="K12" s="391">
        <v>0</v>
      </c>
      <c r="L12" s="391">
        <v>0</v>
      </c>
      <c r="M12" s="392">
        <v>0</v>
      </c>
      <c r="N12" s="391">
        <v>10192119.27</v>
      </c>
      <c r="O12" s="391">
        <v>11536330.440000001</v>
      </c>
      <c r="P12" s="391">
        <v>11355332.850000001</v>
      </c>
      <c r="Q12" s="392">
        <f>9419980.33+6129389.11</f>
        <v>15549369.440000001</v>
      </c>
    </row>
    <row r="13" spans="1:19" ht="15.95" customHeight="1" x14ac:dyDescent="0.2">
      <c r="A13" s="390" t="s">
        <v>11</v>
      </c>
      <c r="B13" s="391">
        <v>136572507.46000001</v>
      </c>
      <c r="C13" s="391">
        <v>153095265.41999999</v>
      </c>
      <c r="D13" s="391">
        <v>32351760.940000001</v>
      </c>
      <c r="E13" s="392">
        <f>2004469.84+56774422.53</f>
        <v>58778892.370000005</v>
      </c>
      <c r="F13" s="391">
        <v>9389309.4700000007</v>
      </c>
      <c r="G13" s="391">
        <v>10464387.359999999</v>
      </c>
      <c r="H13" s="391">
        <v>2208194.0299999998</v>
      </c>
      <c r="I13" s="392">
        <f>125317.62+3549485.53</f>
        <v>3674803.15</v>
      </c>
      <c r="J13" s="391">
        <v>0</v>
      </c>
      <c r="K13" s="391">
        <v>0</v>
      </c>
      <c r="L13" s="391">
        <v>0</v>
      </c>
      <c r="M13" s="392">
        <v>0</v>
      </c>
      <c r="N13" s="391">
        <v>12071760.120000001</v>
      </c>
      <c r="O13" s="391">
        <v>13350575.880000001</v>
      </c>
      <c r="P13" s="391">
        <v>12679765.41</v>
      </c>
      <c r="Q13" s="392">
        <f>9168432.97+6536459.91</f>
        <v>15704892.880000001</v>
      </c>
    </row>
    <row r="14" spans="1:19" ht="15.95" customHeight="1" x14ac:dyDescent="0.2">
      <c r="A14" s="390" t="s">
        <v>12</v>
      </c>
      <c r="B14" s="391">
        <v>157745875.93000001</v>
      </c>
      <c r="C14" s="391">
        <v>169072269</v>
      </c>
      <c r="D14" s="391">
        <v>111308479.09999999</v>
      </c>
      <c r="E14" s="392">
        <f>35977548.35+68206281.57</f>
        <v>104183829.91999999</v>
      </c>
      <c r="F14" s="391">
        <v>10844970.76</v>
      </c>
      <c r="G14" s="391">
        <v>11556449.620000001</v>
      </c>
      <c r="H14" s="391">
        <v>7597444.8200000003</v>
      </c>
      <c r="I14" s="392">
        <f>2249283.81+4264195</f>
        <v>6513478.8100000005</v>
      </c>
      <c r="J14" s="391">
        <v>0</v>
      </c>
      <c r="K14" s="391">
        <v>0</v>
      </c>
      <c r="L14" s="391">
        <v>0</v>
      </c>
      <c r="M14" s="392">
        <v>0</v>
      </c>
      <c r="N14" s="391">
        <v>14132394.699999999</v>
      </c>
      <c r="O14" s="391">
        <v>15776535.300000001</v>
      </c>
      <c r="P14" s="391">
        <v>14568580.41</v>
      </c>
      <c r="Q14" s="392">
        <f>11001173.45+10697735.43</f>
        <v>21698908.879999999</v>
      </c>
    </row>
    <row r="15" spans="1:19" ht="15.95" customHeight="1" x14ac:dyDescent="0.2">
      <c r="A15" s="378" t="s">
        <v>13</v>
      </c>
      <c r="B15" s="391">
        <v>146265834.93000001</v>
      </c>
      <c r="C15" s="391">
        <v>174455225.23000002</v>
      </c>
      <c r="D15" s="391">
        <v>163054146.72</v>
      </c>
      <c r="E15" s="392">
        <f>44076616.51+79438257.43</f>
        <v>123514873.94</v>
      </c>
      <c r="F15" s="391">
        <v>10055722.18</v>
      </c>
      <c r="G15" s="391">
        <v>11924386.120000001</v>
      </c>
      <c r="H15" s="391">
        <v>11129384.689999999</v>
      </c>
      <c r="I15" s="392">
        <f>2755630.21+4966407.96</f>
        <v>7722038.1699999999</v>
      </c>
      <c r="J15" s="391">
        <v>3331865.59</v>
      </c>
      <c r="K15" s="391">
        <v>10901788.299999999</v>
      </c>
      <c r="L15" s="391">
        <v>0</v>
      </c>
      <c r="M15" s="392">
        <f>650350.31+11093401.22</f>
        <v>11743751.530000001</v>
      </c>
      <c r="N15" s="391">
        <v>17481230.129999999</v>
      </c>
      <c r="O15" s="391">
        <v>19939905.75</v>
      </c>
      <c r="P15" s="391">
        <v>17117856</v>
      </c>
      <c r="Q15" s="392">
        <f>14227638.72+9300473.08</f>
        <v>23528111.800000001</v>
      </c>
    </row>
    <row r="16" spans="1:19" ht="15.95" customHeight="1" x14ac:dyDescent="0.2">
      <c r="A16" s="378" t="s">
        <v>14</v>
      </c>
      <c r="B16" s="391">
        <v>161021818.90000001</v>
      </c>
      <c r="C16" s="391">
        <v>171540245.94</v>
      </c>
      <c r="D16" s="391">
        <v>169050264.44999999</v>
      </c>
      <c r="E16" s="392">
        <f>44188494.26+73186240.75</f>
        <v>117374735.00999999</v>
      </c>
      <c r="F16" s="391">
        <v>11070190.629999999</v>
      </c>
      <c r="G16" s="391">
        <v>11725141.050000001</v>
      </c>
      <c r="H16" s="391">
        <v>11538654.280000001</v>
      </c>
      <c r="I16" s="392">
        <f>2762624.72+4575537.54</f>
        <v>7338162.2599999998</v>
      </c>
      <c r="J16" s="391">
        <v>0</v>
      </c>
      <c r="K16" s="391">
        <v>0</v>
      </c>
      <c r="L16" s="391">
        <v>0</v>
      </c>
      <c r="M16" s="392">
        <v>0</v>
      </c>
      <c r="N16" s="391">
        <v>18007954.699999999</v>
      </c>
      <c r="O16" s="391">
        <v>18563627.170000002</v>
      </c>
      <c r="P16" s="391">
        <v>17133098.050000001</v>
      </c>
      <c r="Q16" s="392">
        <f>12348218.67+7736406.98</f>
        <v>20084625.649999999</v>
      </c>
    </row>
    <row r="17" spans="1:17" ht="15.95" customHeight="1" x14ac:dyDescent="0.2">
      <c r="A17" s="390" t="s">
        <v>15</v>
      </c>
      <c r="B17" s="391">
        <v>135493331.57999998</v>
      </c>
      <c r="C17" s="391">
        <v>140926367.56</v>
      </c>
      <c r="D17" s="391">
        <v>161231565.73000002</v>
      </c>
      <c r="E17" s="392">
        <f>52188094.85+63753153.74</f>
        <v>115941248.59</v>
      </c>
      <c r="F17" s="391">
        <v>8837395.4499999993</v>
      </c>
      <c r="G17" s="391">
        <v>9503883.3100000005</v>
      </c>
      <c r="H17" s="391">
        <v>11312600.539999999</v>
      </c>
      <c r="I17" s="392">
        <f>3262752.47+3568591.08</f>
        <v>6831343.5500000007</v>
      </c>
      <c r="J17" s="391">
        <v>6434703.5899999999</v>
      </c>
      <c r="K17" s="391">
        <v>6822741.6900000004</v>
      </c>
      <c r="L17" s="391">
        <v>0</v>
      </c>
      <c r="M17" s="392">
        <f>147225.63+15205558.03</f>
        <v>15352783.66</v>
      </c>
      <c r="N17" s="391">
        <v>15869440.379999999</v>
      </c>
      <c r="O17" s="391">
        <v>17924787.390000001</v>
      </c>
      <c r="P17" s="391">
        <v>19373537.73</v>
      </c>
      <c r="Q17" s="392">
        <f>19908622.59+6915062.59</f>
        <v>26823685.18</v>
      </c>
    </row>
    <row r="18" spans="1:17" ht="15.95" customHeight="1" x14ac:dyDescent="0.2">
      <c r="A18" s="378" t="s">
        <v>16</v>
      </c>
      <c r="B18" s="391">
        <v>146991128.34999999</v>
      </c>
      <c r="C18" s="391">
        <v>164870870.55000001</v>
      </c>
      <c r="D18" s="391">
        <v>171642001.13999999</v>
      </c>
      <c r="E18" s="392">
        <f>45637287.49+77553780.72</f>
        <v>123191068.21000001</v>
      </c>
      <c r="F18" s="391">
        <v>10047156.59</v>
      </c>
      <c r="G18" s="391">
        <v>11253386.559999999</v>
      </c>
      <c r="H18" s="391">
        <v>11759394.560000001</v>
      </c>
      <c r="I18" s="392">
        <f>2831501+4811714.72</f>
        <v>7643215.7199999997</v>
      </c>
      <c r="J18" s="391">
        <v>4018658.65</v>
      </c>
      <c r="K18" s="391">
        <v>4899392.57</v>
      </c>
      <c r="L18" s="391">
        <v>1426552.5499999998</v>
      </c>
      <c r="M18" s="392">
        <f>4840672.62+2246260.76</f>
        <v>7086933.3799999999</v>
      </c>
      <c r="N18" s="391">
        <v>15942768.92</v>
      </c>
      <c r="O18" s="391">
        <v>17460546.59</v>
      </c>
      <c r="P18" s="391">
        <v>16838983.699999999</v>
      </c>
      <c r="Q18" s="392">
        <f>12755819.16+8391663.33</f>
        <v>21147482.490000002</v>
      </c>
    </row>
    <row r="19" spans="1:17" ht="15.95" customHeight="1" x14ac:dyDescent="0.2">
      <c r="A19" s="378" t="s">
        <v>17</v>
      </c>
      <c r="B19" s="391">
        <v>153096816.72</v>
      </c>
      <c r="C19" s="391">
        <v>168051440.00999999</v>
      </c>
      <c r="D19" s="391">
        <v>169532040.53</v>
      </c>
      <c r="E19" s="392">
        <f>42026564.83+77558875.46</f>
        <v>119585440.28999999</v>
      </c>
      <c r="F19" s="391">
        <v>10464493.41</v>
      </c>
      <c r="G19" s="391">
        <v>11470478.73</v>
      </c>
      <c r="H19" s="391">
        <v>11614838.719999999</v>
      </c>
      <c r="I19" s="392">
        <f>2607478.82+4812030.86</f>
        <v>7419509.6799999997</v>
      </c>
      <c r="J19" s="391">
        <v>2712065.1</v>
      </c>
      <c r="K19" s="391">
        <v>2179052.2599999998</v>
      </c>
      <c r="L19" s="391">
        <v>1455413.3199999998</v>
      </c>
      <c r="M19" s="392">
        <f>2672222.02+3074919.85</f>
        <v>5747141.8700000001</v>
      </c>
      <c r="N19" s="391">
        <v>13549129.43</v>
      </c>
      <c r="O19" s="391">
        <v>15138282.709999999</v>
      </c>
      <c r="P19" s="391">
        <v>15844088.949999999</v>
      </c>
      <c r="Q19" s="392">
        <f>10690741.24+7489240.39</f>
        <v>18179981.629999999</v>
      </c>
    </row>
    <row r="20" spans="1:17" ht="15.95" customHeight="1" thickBot="1" x14ac:dyDescent="0.25">
      <c r="A20" s="393" t="s">
        <v>18</v>
      </c>
      <c r="B20" s="394">
        <v>174169701.38999999</v>
      </c>
      <c r="C20" s="394">
        <v>192813282.94999999</v>
      </c>
      <c r="D20" s="394">
        <v>197886372.27000001</v>
      </c>
      <c r="E20" s="395">
        <f>45694957.16+104589235.96</f>
        <v>150284193.12</v>
      </c>
      <c r="F20" s="396">
        <v>11904869.98</v>
      </c>
      <c r="G20" s="394">
        <v>13160617.18</v>
      </c>
      <c r="H20" s="394">
        <v>13557427.190000001</v>
      </c>
      <c r="I20" s="395">
        <f>2835079.05+6489091.35</f>
        <v>9324170.3999999985</v>
      </c>
      <c r="J20" s="394">
        <v>13961314.539999999</v>
      </c>
      <c r="K20" s="394">
        <v>16551132.719999999</v>
      </c>
      <c r="L20" s="394">
        <v>13984254.18</v>
      </c>
      <c r="M20" s="395">
        <f>2128815.8+25929949</f>
        <v>28058764.800000001</v>
      </c>
      <c r="N20" s="394">
        <v>12101982.68</v>
      </c>
      <c r="O20" s="394">
        <v>13998090.649999999</v>
      </c>
      <c r="P20" s="394">
        <v>15190228.58</v>
      </c>
      <c r="Q20" s="395">
        <f>9418272.55+10398452.15</f>
        <v>19816724.700000003</v>
      </c>
    </row>
    <row r="21" spans="1:17" ht="21" customHeight="1" thickBot="1" x14ac:dyDescent="0.25">
      <c r="A21" s="397" t="s">
        <v>19</v>
      </c>
      <c r="B21" s="398">
        <f t="shared" ref="B21" si="0">SUM(B9:B20)</f>
        <v>1735964676.6199999</v>
      </c>
      <c r="C21" s="399">
        <f>SUM(C9:C20)</f>
        <v>1933180025.51</v>
      </c>
      <c r="D21" s="400">
        <f>SUM(D9:D20)</f>
        <v>1813194043.7</v>
      </c>
      <c r="E21" s="401">
        <f>SUM(E9:E20)</f>
        <v>1338915773.77</v>
      </c>
      <c r="F21" s="399">
        <f t="shared" ref="F21" si="1">SUM(F9:F20)</f>
        <v>118643260.23</v>
      </c>
      <c r="G21" s="399">
        <f>SUM(G9:G20)</f>
        <v>131957572.29000002</v>
      </c>
      <c r="H21" s="400">
        <f t="shared" ref="H21:Q21" si="2">SUM(H9:H20)</f>
        <v>124206237.03</v>
      </c>
      <c r="I21" s="401">
        <f t="shared" si="2"/>
        <v>83514048.599999994</v>
      </c>
      <c r="J21" s="402">
        <f t="shared" si="2"/>
        <v>41425996.219999999</v>
      </c>
      <c r="K21" s="399">
        <f t="shared" si="2"/>
        <v>54276767.850000001</v>
      </c>
      <c r="L21" s="400">
        <f t="shared" si="2"/>
        <v>30104455.289999999</v>
      </c>
      <c r="M21" s="401">
        <f t="shared" si="2"/>
        <v>89346402.209999993</v>
      </c>
      <c r="N21" s="399">
        <f t="shared" si="2"/>
        <v>163583863.15000001</v>
      </c>
      <c r="O21" s="399">
        <f t="shared" si="2"/>
        <v>183041506.52000001</v>
      </c>
      <c r="P21" s="400">
        <f t="shared" si="2"/>
        <v>183637002.17999998</v>
      </c>
      <c r="Q21" s="401">
        <f t="shared" si="2"/>
        <v>231727000.73000002</v>
      </c>
    </row>
    <row r="22" spans="1:17" ht="13.5" customHeight="1" x14ac:dyDescent="0.2">
      <c r="A22" s="71"/>
      <c r="B22" s="73"/>
      <c r="C22" s="73"/>
      <c r="D22" s="213"/>
      <c r="E22" s="91"/>
      <c r="F22" s="73"/>
      <c r="G22" s="73"/>
      <c r="H22" s="73"/>
      <c r="I22" s="213"/>
      <c r="J22" s="71"/>
      <c r="K22" s="73"/>
      <c r="L22" s="71"/>
      <c r="M22" s="91"/>
      <c r="N22" s="71"/>
      <c r="O22" s="73"/>
      <c r="P22" s="213"/>
    </row>
    <row r="23" spans="1:17" ht="13.5" customHeight="1" x14ac:dyDescent="0.2">
      <c r="A23" s="71"/>
      <c r="B23" s="73"/>
      <c r="C23" s="73"/>
      <c r="D23" s="213"/>
      <c r="E23" s="91"/>
      <c r="F23" s="73"/>
      <c r="G23" s="73"/>
      <c r="H23" s="73"/>
      <c r="I23" s="213"/>
      <c r="J23" s="71"/>
      <c r="K23" s="73"/>
      <c r="L23" s="71"/>
      <c r="M23" s="91"/>
      <c r="N23" s="71"/>
      <c r="O23" s="73"/>
      <c r="P23" s="213"/>
    </row>
    <row r="24" spans="1:17" ht="13.5" customHeight="1" thickBot="1" x14ac:dyDescent="0.25">
      <c r="A24" s="92"/>
      <c r="B24" s="73"/>
      <c r="C24" s="93"/>
      <c r="D24" s="213"/>
      <c r="E24" s="213"/>
      <c r="F24" s="73"/>
      <c r="G24" s="73"/>
      <c r="H24" s="73"/>
      <c r="I24" s="213"/>
      <c r="M24" s="381" t="s">
        <v>59</v>
      </c>
      <c r="P24" s="205"/>
    </row>
    <row r="25" spans="1:17" ht="13.5" customHeight="1" x14ac:dyDescent="0.2">
      <c r="A25" s="660" t="s">
        <v>2</v>
      </c>
      <c r="B25" s="663" t="s">
        <v>66</v>
      </c>
      <c r="C25" s="640"/>
      <c r="D25" s="640"/>
      <c r="E25" s="641"/>
      <c r="F25" s="664" t="s">
        <v>67</v>
      </c>
      <c r="G25" s="640"/>
      <c r="H25" s="640"/>
      <c r="I25" s="641"/>
      <c r="J25" s="665" t="s">
        <v>68</v>
      </c>
      <c r="K25" s="640"/>
      <c r="L25" s="640"/>
      <c r="M25" s="641"/>
      <c r="Q25" s="66"/>
    </row>
    <row r="26" spans="1:17" ht="13.5" customHeight="1" thickBot="1" x14ac:dyDescent="0.25">
      <c r="A26" s="661"/>
      <c r="B26" s="643"/>
      <c r="C26" s="643"/>
      <c r="D26" s="643"/>
      <c r="E26" s="644"/>
      <c r="F26" s="642"/>
      <c r="G26" s="643"/>
      <c r="H26" s="643"/>
      <c r="I26" s="644"/>
      <c r="J26" s="642"/>
      <c r="K26" s="643"/>
      <c r="L26" s="643"/>
      <c r="M26" s="644"/>
      <c r="Q26" s="66"/>
    </row>
    <row r="27" spans="1:17" ht="13.5" customHeight="1" x14ac:dyDescent="0.2">
      <c r="A27" s="661"/>
      <c r="B27" s="206"/>
      <c r="C27" s="206"/>
      <c r="D27" s="207"/>
      <c r="E27" s="382" t="s">
        <v>142</v>
      </c>
      <c r="F27" s="403"/>
      <c r="G27" s="403"/>
      <c r="H27" s="207"/>
      <c r="I27" s="382" t="s">
        <v>142</v>
      </c>
      <c r="J27" s="214"/>
      <c r="K27" s="404"/>
      <c r="L27" s="404"/>
      <c r="M27" s="383" t="s">
        <v>142</v>
      </c>
      <c r="Q27" s="66"/>
    </row>
    <row r="28" spans="1:17" ht="13.5" customHeight="1" thickBot="1" x14ac:dyDescent="0.25">
      <c r="A28" s="662"/>
      <c r="B28" s="210" t="s">
        <v>104</v>
      </c>
      <c r="C28" s="210" t="s">
        <v>115</v>
      </c>
      <c r="D28" s="211" t="s">
        <v>129</v>
      </c>
      <c r="E28" s="384"/>
      <c r="F28" s="210" t="s">
        <v>104</v>
      </c>
      <c r="G28" s="210" t="s">
        <v>115</v>
      </c>
      <c r="H28" s="211" t="s">
        <v>129</v>
      </c>
      <c r="I28" s="384"/>
      <c r="J28" s="215" t="s">
        <v>104</v>
      </c>
      <c r="K28" s="215" t="s">
        <v>115</v>
      </c>
      <c r="L28" s="215" t="s">
        <v>129</v>
      </c>
      <c r="M28" s="385"/>
      <c r="Q28" s="66"/>
    </row>
    <row r="29" spans="1:17" ht="15.95" customHeight="1" x14ac:dyDescent="0.2">
      <c r="A29" s="386" t="s">
        <v>7</v>
      </c>
      <c r="B29" s="387">
        <v>42049856.450000003</v>
      </c>
      <c r="C29" s="387">
        <v>106863469.45</v>
      </c>
      <c r="D29" s="387">
        <v>36309188.350000001</v>
      </c>
      <c r="E29" s="388">
        <f>76527199.62+5307600.21</f>
        <v>81834799.829999998</v>
      </c>
      <c r="F29" s="387">
        <v>298788186.83999997</v>
      </c>
      <c r="G29" s="387">
        <v>333202310.63999999</v>
      </c>
      <c r="H29" s="387">
        <v>341127569.38</v>
      </c>
      <c r="I29" s="388">
        <f>313177096.32+26121844.45</f>
        <v>339298940.76999998</v>
      </c>
      <c r="J29" s="405">
        <f>B9+F9+J9+N9+B29+F29</f>
        <v>516351749.89999998</v>
      </c>
      <c r="K29" s="406">
        <f>C9+G9+K9+O9+C29+G29</f>
        <v>643360163.25999999</v>
      </c>
      <c r="L29" s="406">
        <f>D9+H9+L9+P9+D29+H29</f>
        <v>591083770.95000005</v>
      </c>
      <c r="M29" s="388">
        <f>E9+I9+M9+Q9+E29+I29</f>
        <v>655330022.90999997</v>
      </c>
      <c r="O29" s="412"/>
      <c r="Q29" s="66"/>
    </row>
    <row r="30" spans="1:17" ht="15.95" customHeight="1" x14ac:dyDescent="0.2">
      <c r="A30" s="390" t="s">
        <v>8</v>
      </c>
      <c r="B30" s="391">
        <v>8417186.4000000004</v>
      </c>
      <c r="C30" s="391">
        <v>10119942.49</v>
      </c>
      <c r="D30" s="391">
        <v>14521245.08</v>
      </c>
      <c r="E30" s="392">
        <f>5583118.31+6616387.11</f>
        <v>12199505.42</v>
      </c>
      <c r="F30" s="391">
        <v>414077487.31999999</v>
      </c>
      <c r="G30" s="391">
        <v>393778986.61000001</v>
      </c>
      <c r="H30" s="391">
        <v>420214346.32000005</v>
      </c>
      <c r="I30" s="392">
        <f>413944034.67+29612287.85</f>
        <v>443556322.52000004</v>
      </c>
      <c r="J30" s="348">
        <f t="shared" ref="J30:M40" si="3">B10+F10+J10+N10+B30+F30</f>
        <v>597755223.25</v>
      </c>
      <c r="K30" s="406">
        <f t="shared" si="3"/>
        <v>596146731.75</v>
      </c>
      <c r="L30" s="406">
        <f t="shared" si="3"/>
        <v>635065505.42000008</v>
      </c>
      <c r="M30" s="388">
        <f t="shared" si="3"/>
        <v>606205424.23000002</v>
      </c>
      <c r="O30" s="412"/>
      <c r="Q30" s="66"/>
    </row>
    <row r="31" spans="1:17" ht="15.95" customHeight="1" x14ac:dyDescent="0.2">
      <c r="A31" s="390" t="s">
        <v>9</v>
      </c>
      <c r="B31" s="391">
        <v>275838123.50999999</v>
      </c>
      <c r="C31" s="391">
        <v>288451976.89000005</v>
      </c>
      <c r="D31" s="391">
        <v>303860392.41999996</v>
      </c>
      <c r="E31" s="392">
        <f>7992814.1+306349934.93</f>
        <v>314342749.03000003</v>
      </c>
      <c r="F31" s="391">
        <v>194379745.97</v>
      </c>
      <c r="G31" s="391">
        <v>181375220.12</v>
      </c>
      <c r="H31" s="391">
        <v>218822493.73000002</v>
      </c>
      <c r="I31" s="392">
        <f>144165907.52+28299681.67</f>
        <v>172465589.19</v>
      </c>
      <c r="J31" s="348">
        <f t="shared" si="3"/>
        <v>615000647.22000003</v>
      </c>
      <c r="K31" s="406">
        <f t="shared" si="3"/>
        <v>632028162.24000001</v>
      </c>
      <c r="L31" s="406">
        <f t="shared" si="3"/>
        <v>708193641.07999992</v>
      </c>
      <c r="M31" s="388">
        <f t="shared" si="3"/>
        <v>599508379.8900001</v>
      </c>
      <c r="O31" s="412"/>
      <c r="Q31" s="66"/>
    </row>
    <row r="32" spans="1:17" ht="15.95" customHeight="1" x14ac:dyDescent="0.2">
      <c r="A32" s="390" t="s">
        <v>10</v>
      </c>
      <c r="B32" s="391">
        <v>89634557.189999998</v>
      </c>
      <c r="C32" s="391">
        <v>94060417.739999995</v>
      </c>
      <c r="D32" s="391">
        <v>52740666.170000002</v>
      </c>
      <c r="E32" s="392">
        <f>71398171.76+15279257.87</f>
        <v>86677429.63000001</v>
      </c>
      <c r="F32" s="391">
        <v>220657185.78</v>
      </c>
      <c r="G32" s="391">
        <v>240426184.47</v>
      </c>
      <c r="H32" s="391">
        <v>219029944.34999999</v>
      </c>
      <c r="I32" s="392">
        <f>239757470.93+21927693.54</f>
        <v>261685164.47</v>
      </c>
      <c r="J32" s="348">
        <f t="shared" si="3"/>
        <v>430766113.04999995</v>
      </c>
      <c r="K32" s="406">
        <f t="shared" si="3"/>
        <v>479809167.75999999</v>
      </c>
      <c r="L32" s="406">
        <f t="shared" si="3"/>
        <v>421037737.96000004</v>
      </c>
      <c r="M32" s="388">
        <f t="shared" si="3"/>
        <v>390225107.5</v>
      </c>
      <c r="O32" s="412"/>
      <c r="Q32" s="66"/>
    </row>
    <row r="33" spans="1:17" ht="15.95" customHeight="1" x14ac:dyDescent="0.2">
      <c r="A33" s="390" t="s">
        <v>11</v>
      </c>
      <c r="B33" s="391">
        <v>731003.92</v>
      </c>
      <c r="C33" s="391">
        <v>6764056.2300000004</v>
      </c>
      <c r="D33" s="391">
        <v>0</v>
      </c>
      <c r="E33" s="392">
        <f>5575642.78+9072373.08</f>
        <v>14648015.859999999</v>
      </c>
      <c r="F33" s="391">
        <v>357278358.06</v>
      </c>
      <c r="G33" s="391">
        <v>391408753.73000002</v>
      </c>
      <c r="H33" s="391">
        <v>315610937.76999998</v>
      </c>
      <c r="I33" s="392">
        <f>420874020.88+13829504.42</f>
        <v>434703525.30000001</v>
      </c>
      <c r="J33" s="348">
        <f t="shared" si="3"/>
        <v>516042939.02999997</v>
      </c>
      <c r="K33" s="406">
        <f t="shared" si="3"/>
        <v>575083038.62</v>
      </c>
      <c r="L33" s="406">
        <f t="shared" si="3"/>
        <v>362850658.14999998</v>
      </c>
      <c r="M33" s="388">
        <f t="shared" si="3"/>
        <v>527510129.56</v>
      </c>
      <c r="O33" s="412"/>
      <c r="Q33" s="66"/>
    </row>
    <row r="34" spans="1:17" ht="15.95" customHeight="1" x14ac:dyDescent="0.2">
      <c r="A34" s="390" t="s">
        <v>12</v>
      </c>
      <c r="B34" s="391">
        <v>295584966.87</v>
      </c>
      <c r="C34" s="391">
        <v>243399573.40000001</v>
      </c>
      <c r="D34" s="391">
        <v>127269360.92</v>
      </c>
      <c r="E34" s="392">
        <f>29645714.43+333720237.8</f>
        <v>363365952.23000002</v>
      </c>
      <c r="F34" s="391">
        <v>261375020.03</v>
      </c>
      <c r="G34" s="391">
        <v>285714824.88</v>
      </c>
      <c r="H34" s="391">
        <v>207283989.04000002</v>
      </c>
      <c r="I34" s="392">
        <f>284288986.07+26346644.78</f>
        <v>310635630.85000002</v>
      </c>
      <c r="J34" s="348">
        <f t="shared" si="3"/>
        <v>739683228.28999996</v>
      </c>
      <c r="K34" s="406">
        <f t="shared" si="3"/>
        <v>725519652.20000005</v>
      </c>
      <c r="L34" s="406">
        <f t="shared" si="3"/>
        <v>468027854.29000002</v>
      </c>
      <c r="M34" s="388">
        <f t="shared" si="3"/>
        <v>806397800.69000006</v>
      </c>
      <c r="O34" s="412"/>
      <c r="Q34" s="66"/>
    </row>
    <row r="35" spans="1:17" ht="15.95" customHeight="1" x14ac:dyDescent="0.2">
      <c r="A35" s="378" t="s">
        <v>13</v>
      </c>
      <c r="B35" s="391">
        <v>292945668.03999996</v>
      </c>
      <c r="C35" s="391">
        <v>357348357.19</v>
      </c>
      <c r="D35" s="391">
        <v>233375384.70999998</v>
      </c>
      <c r="E35" s="392">
        <f>284126154.87+129333701.96</f>
        <v>413459856.82999998</v>
      </c>
      <c r="F35" s="391">
        <v>302608177.75</v>
      </c>
      <c r="G35" s="391">
        <v>312578565.65000004</v>
      </c>
      <c r="H35" s="391">
        <v>296444964.03999996</v>
      </c>
      <c r="I35" s="392">
        <f>337902542.89+36332925.72</f>
        <v>374235468.61000001</v>
      </c>
      <c r="J35" s="348">
        <f t="shared" si="3"/>
        <v>772688498.62</v>
      </c>
      <c r="K35" s="406">
        <f t="shared" si="3"/>
        <v>887148228.24000001</v>
      </c>
      <c r="L35" s="406">
        <f t="shared" si="3"/>
        <v>721121736.15999997</v>
      </c>
      <c r="M35" s="388">
        <f t="shared" si="3"/>
        <v>954204100.88</v>
      </c>
      <c r="O35" s="412"/>
      <c r="Q35" s="66"/>
    </row>
    <row r="36" spans="1:17" ht="15.95" customHeight="1" x14ac:dyDescent="0.2">
      <c r="A36" s="378" t="s">
        <v>14</v>
      </c>
      <c r="B36" s="391">
        <v>0</v>
      </c>
      <c r="C36" s="391">
        <v>0</v>
      </c>
      <c r="D36" s="391">
        <v>0</v>
      </c>
      <c r="E36" s="392">
        <v>0</v>
      </c>
      <c r="F36" s="391">
        <v>392482894.35000002</v>
      </c>
      <c r="G36" s="391">
        <v>391164278.40999997</v>
      </c>
      <c r="H36" s="391">
        <v>405900212.11000001</v>
      </c>
      <c r="I36" s="392">
        <f>446252397.35+24651046.95</f>
        <v>470903444.30000001</v>
      </c>
      <c r="J36" s="348">
        <f t="shared" si="3"/>
        <v>582582858.58000004</v>
      </c>
      <c r="K36" s="406">
        <f t="shared" si="3"/>
        <v>592993292.56999993</v>
      </c>
      <c r="L36" s="406">
        <f t="shared" si="3"/>
        <v>603622228.88999999</v>
      </c>
      <c r="M36" s="388">
        <f t="shared" si="3"/>
        <v>615700967.22000003</v>
      </c>
      <c r="Q36" s="66"/>
    </row>
    <row r="37" spans="1:17" ht="15.95" customHeight="1" x14ac:dyDescent="0.2">
      <c r="A37" s="390" t="s">
        <v>15</v>
      </c>
      <c r="B37" s="391">
        <v>118575134.48</v>
      </c>
      <c r="C37" s="391">
        <v>157121127.28</v>
      </c>
      <c r="D37" s="391">
        <v>251701214.80000001</v>
      </c>
      <c r="E37" s="392">
        <f>263994552.93</f>
        <v>263994552.93000001</v>
      </c>
      <c r="F37" s="391">
        <v>222304187.11000001</v>
      </c>
      <c r="G37" s="391">
        <v>261499518.94999999</v>
      </c>
      <c r="H37" s="391">
        <v>287264617.94</v>
      </c>
      <c r="I37" s="392">
        <f>287100700.8</f>
        <v>287100700.80000001</v>
      </c>
      <c r="J37" s="348">
        <f t="shared" si="3"/>
        <v>507514192.58999997</v>
      </c>
      <c r="K37" s="406">
        <f t="shared" si="3"/>
        <v>593798426.18000007</v>
      </c>
      <c r="L37" s="406">
        <f t="shared" si="3"/>
        <v>730883536.74000001</v>
      </c>
      <c r="M37" s="388">
        <f t="shared" si="3"/>
        <v>716044314.71000004</v>
      </c>
      <c r="Q37" s="66"/>
    </row>
    <row r="38" spans="1:17" ht="15.95" customHeight="1" x14ac:dyDescent="0.2">
      <c r="A38" s="378" t="s">
        <v>16</v>
      </c>
      <c r="B38" s="391">
        <v>144611533.48000002</v>
      </c>
      <c r="C38" s="391">
        <v>145196803.95999998</v>
      </c>
      <c r="D38" s="391">
        <v>59149397.939999998</v>
      </c>
      <c r="E38" s="392">
        <f>52877050.05+7639830.96</f>
        <v>60516881.009999998</v>
      </c>
      <c r="F38" s="391">
        <v>286337881.31</v>
      </c>
      <c r="G38" s="391">
        <v>275772676.23000002</v>
      </c>
      <c r="H38" s="391">
        <v>292502785.63</v>
      </c>
      <c r="I38" s="392">
        <f>313258090.19+32269147.99</f>
        <v>345527238.18000001</v>
      </c>
      <c r="J38" s="348">
        <f t="shared" si="3"/>
        <v>607949127.29999995</v>
      </c>
      <c r="K38" s="406">
        <f t="shared" si="3"/>
        <v>619453676.46000004</v>
      </c>
      <c r="L38" s="406">
        <f t="shared" si="3"/>
        <v>553319115.51999998</v>
      </c>
      <c r="M38" s="388">
        <f t="shared" si="3"/>
        <v>565112818.99000001</v>
      </c>
      <c r="Q38" s="66"/>
    </row>
    <row r="39" spans="1:17" ht="15.95" customHeight="1" x14ac:dyDescent="0.2">
      <c r="A39" s="378" t="s">
        <v>17</v>
      </c>
      <c r="B39" s="391">
        <v>10946617.25</v>
      </c>
      <c r="C39" s="391">
        <v>6018590.8799999999</v>
      </c>
      <c r="D39" s="391">
        <v>14619868</v>
      </c>
      <c r="E39" s="392">
        <f>9158609.11+355224.43</f>
        <v>9513833.5399999991</v>
      </c>
      <c r="F39" s="391">
        <v>404597424.04000002</v>
      </c>
      <c r="G39" s="391">
        <v>426276112.94</v>
      </c>
      <c r="H39" s="391">
        <v>427435434.78000003</v>
      </c>
      <c r="I39" s="392">
        <f>461382635.84+32659137.57</f>
        <v>494041773.40999997</v>
      </c>
      <c r="J39" s="348">
        <f t="shared" si="3"/>
        <v>595366545.95000005</v>
      </c>
      <c r="K39" s="406">
        <f t="shared" si="3"/>
        <v>629133957.52999997</v>
      </c>
      <c r="L39" s="406">
        <f t="shared" si="3"/>
        <v>640501684.29999995</v>
      </c>
      <c r="M39" s="388">
        <f t="shared" si="3"/>
        <v>654487680.41999996</v>
      </c>
      <c r="Q39" s="66"/>
    </row>
    <row r="40" spans="1:17" ht="15.95" customHeight="1" thickBot="1" x14ac:dyDescent="0.25">
      <c r="A40" s="393" t="s">
        <v>18</v>
      </c>
      <c r="B40" s="394">
        <v>222270822.72</v>
      </c>
      <c r="C40" s="394">
        <v>289657435.38</v>
      </c>
      <c r="D40" s="394">
        <v>280775876.77000004</v>
      </c>
      <c r="E40" s="395">
        <f>5999076.79+328478961.77</f>
        <v>334478038.56</v>
      </c>
      <c r="F40" s="394">
        <v>343799358.10000002</v>
      </c>
      <c r="G40" s="394">
        <v>345381584.58999997</v>
      </c>
      <c r="H40" s="394">
        <v>338847804.18000001</v>
      </c>
      <c r="I40" s="395">
        <f>394175510.05+44979968.24</f>
        <v>439155478.29000002</v>
      </c>
      <c r="J40" s="349">
        <f t="shared" si="3"/>
        <v>778208049.40999997</v>
      </c>
      <c r="K40" s="406">
        <f t="shared" si="3"/>
        <v>871562143.47000003</v>
      </c>
      <c r="L40" s="406">
        <f t="shared" si="3"/>
        <v>860241963.17000008</v>
      </c>
      <c r="M40" s="407">
        <f t="shared" si="3"/>
        <v>981117369.87000012</v>
      </c>
      <c r="Q40" s="66"/>
    </row>
    <row r="41" spans="1:17" ht="21" customHeight="1" thickBot="1" x14ac:dyDescent="0.25">
      <c r="A41" s="397" t="s">
        <v>19</v>
      </c>
      <c r="B41" s="399">
        <f t="shared" ref="B41:D41" si="4">SUM(B29:B40)</f>
        <v>1501605470.3099999</v>
      </c>
      <c r="C41" s="399">
        <f t="shared" si="4"/>
        <v>1705001750.8900003</v>
      </c>
      <c r="D41" s="400">
        <f t="shared" si="4"/>
        <v>1374322595.1600001</v>
      </c>
      <c r="E41" s="401">
        <f t="shared" ref="E41:L41" si="5">SUM(E29:E40)</f>
        <v>1955031614.8699999</v>
      </c>
      <c r="F41" s="402">
        <f t="shared" si="5"/>
        <v>3698685906.6599998</v>
      </c>
      <c r="G41" s="399">
        <f t="shared" si="5"/>
        <v>3838579017.2199998</v>
      </c>
      <c r="H41" s="400">
        <f t="shared" si="5"/>
        <v>3770485099.27</v>
      </c>
      <c r="I41" s="401">
        <f t="shared" si="5"/>
        <v>4373309276.6900005</v>
      </c>
      <c r="J41" s="408">
        <f t="shared" si="5"/>
        <v>7259909173.1899996</v>
      </c>
      <c r="K41" s="409">
        <f t="shared" si="5"/>
        <v>7846036640.2799997</v>
      </c>
      <c r="L41" s="409">
        <f t="shared" si="5"/>
        <v>7295949432.6300001</v>
      </c>
      <c r="M41" s="401">
        <f>E21+I21+M21+Q21+E41+I41</f>
        <v>8071844116.8700008</v>
      </c>
      <c r="Q41" s="66"/>
    </row>
    <row r="42" spans="1:17" x14ac:dyDescent="0.2">
      <c r="A42" s="92"/>
      <c r="B42" s="73"/>
      <c r="C42" s="73"/>
      <c r="D42" s="73"/>
      <c r="E42" s="213"/>
      <c r="F42" s="73"/>
      <c r="G42" s="73"/>
      <c r="H42" s="73"/>
      <c r="I42" s="213"/>
      <c r="J42" s="71"/>
      <c r="K42" s="73"/>
      <c r="L42" s="73"/>
      <c r="M42" s="213"/>
      <c r="N42" s="73"/>
      <c r="O42" s="73"/>
      <c r="P42" s="73"/>
    </row>
  </sheetData>
  <mergeCells count="12">
    <mergeCell ref="A25:A28"/>
    <mergeCell ref="B25:E26"/>
    <mergeCell ref="F25:I26"/>
    <mergeCell ref="J25:M26"/>
    <mergeCell ref="A1:Q1"/>
    <mergeCell ref="A2:Q2"/>
    <mergeCell ref="A3:Q3"/>
    <mergeCell ref="A5:A8"/>
    <mergeCell ref="B5:E6"/>
    <mergeCell ref="F5:I6"/>
    <mergeCell ref="J5:M6"/>
    <mergeCell ref="N5:Q6"/>
  </mergeCells>
  <pageMargins left="0.59055118110236227" right="0.59055118110236227" top="0.59055118110236227" bottom="0.59055118110236227" header="0.51181102362204722" footer="0.51181102362204722"/>
  <pageSetup paperSize="9" scale="66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8C224-FEB3-4B3C-9F51-EDC73CAF198C}">
  <sheetPr>
    <tabColor theme="5" tint="-0.499984740745262"/>
  </sheetPr>
  <dimension ref="A1:S64"/>
  <sheetViews>
    <sheetView showGridLines="0" zoomScale="160" zoomScaleNormal="160" zoomScaleSheetLayoutView="150" workbookViewId="0">
      <selection sqref="A1:M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512" t="s">
        <v>144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451"/>
      <c r="Q1" s="451"/>
      <c r="R1" s="452"/>
      <c r="S1" s="452"/>
    </row>
    <row r="2" spans="1:19" ht="19.5" x14ac:dyDescent="0.3">
      <c r="A2" s="686" t="s">
        <v>146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5" spans="1:19" ht="12.75" customHeight="1" x14ac:dyDescent="0.2"/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1:19" ht="12.75" customHeight="1" x14ac:dyDescent="0.2"/>
    <row r="34" spans="1:19" ht="12.75" customHeight="1" x14ac:dyDescent="0.2"/>
    <row r="35" spans="1:19" ht="12.75" customHeight="1" x14ac:dyDescent="0.2"/>
    <row r="36" spans="1:19" ht="12.75" customHeight="1" x14ac:dyDescent="0.2"/>
    <row r="37" spans="1:19" ht="12.75" customHeight="1" x14ac:dyDescent="0.2"/>
    <row r="38" spans="1:19" ht="6" customHeight="1" x14ac:dyDescent="0.2"/>
    <row r="39" spans="1:19" ht="12.75" customHeight="1" x14ac:dyDescent="0.2">
      <c r="I39" s="453" t="s">
        <v>35</v>
      </c>
      <c r="K39" s="60"/>
    </row>
    <row r="40" spans="1:19" ht="12.75" customHeight="1" x14ac:dyDescent="0.2">
      <c r="K40" s="60"/>
    </row>
    <row r="41" spans="1:19" ht="28.5" x14ac:dyDescent="0.45">
      <c r="A41" s="512" t="s">
        <v>145</v>
      </c>
      <c r="B41" s="685"/>
      <c r="C41" s="685"/>
      <c r="D41" s="685"/>
      <c r="E41" s="685"/>
      <c r="F41" s="685"/>
      <c r="G41" s="685"/>
      <c r="H41" s="685"/>
      <c r="I41" s="685"/>
      <c r="J41" s="685"/>
      <c r="K41" s="685"/>
      <c r="L41" s="685"/>
      <c r="M41" s="685"/>
      <c r="N41" s="685"/>
      <c r="O41" s="685"/>
      <c r="P41" s="452"/>
      <c r="Q41" s="452"/>
      <c r="R41" s="452"/>
      <c r="S41" s="452"/>
    </row>
    <row r="42" spans="1:19" ht="19.5" x14ac:dyDescent="0.3">
      <c r="A42" s="686" t="s">
        <v>146</v>
      </c>
      <c r="B42" s="687"/>
      <c r="C42" s="687"/>
      <c r="D42" s="687"/>
      <c r="E42" s="687"/>
      <c r="F42" s="687"/>
      <c r="G42" s="687"/>
      <c r="H42" s="687"/>
      <c r="I42" s="687"/>
      <c r="J42" s="687"/>
      <c r="K42" s="687"/>
      <c r="L42" s="687"/>
      <c r="M42" s="687"/>
      <c r="N42" s="687"/>
      <c r="O42" s="687"/>
      <c r="P42"/>
      <c r="Q42"/>
      <c r="R42"/>
      <c r="S42"/>
    </row>
    <row r="43" spans="1:19" ht="12.75" customHeight="1" x14ac:dyDescent="0.2"/>
    <row r="64" spans="11:19" x14ac:dyDescent="0.2">
      <c r="K64" s="632"/>
      <c r="L64" s="633"/>
      <c r="M64" s="633"/>
      <c r="N64" s="633"/>
      <c r="O64" s="633"/>
      <c r="P64" s="633"/>
      <c r="Q64" s="633"/>
      <c r="R64" s="633"/>
      <c r="S64" s="633"/>
    </row>
  </sheetData>
  <mergeCells count="5">
    <mergeCell ref="A1:O1"/>
    <mergeCell ref="A2:O2"/>
    <mergeCell ref="A41:O41"/>
    <mergeCell ref="A42:O42"/>
    <mergeCell ref="K64:S64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/>
  <rowBreaks count="1" manualBreakCount="1">
    <brk id="40" max="14" man="1"/>
  </rowBreak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7ECBF-401A-414D-A790-BAA2B01EF2F3}">
  <sheetPr>
    <tabColor rgb="FF000000"/>
    <pageSetUpPr fitToPage="1"/>
  </sheetPr>
  <dimension ref="A1:N48"/>
  <sheetViews>
    <sheetView showGridLines="0" zoomScale="140" zoomScaleNormal="140" zoomScaleSheetLayoutView="130" workbookViewId="0">
      <selection sqref="A1:M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85" t="s">
        <v>150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20.25" x14ac:dyDescent="0.3">
      <c r="A2" s="638"/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A3" s="212"/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67" t="s">
        <v>2</v>
      </c>
      <c r="B4" s="694" t="s">
        <v>154</v>
      </c>
      <c r="C4" s="696"/>
      <c r="D4" s="697"/>
      <c r="E4" s="701" t="s">
        <v>159</v>
      </c>
      <c r="F4" s="696"/>
      <c r="G4" s="697"/>
      <c r="H4" s="694" t="s">
        <v>155</v>
      </c>
      <c r="I4" s="696"/>
      <c r="J4" s="697"/>
      <c r="K4" s="688" t="s">
        <v>156</v>
      </c>
      <c r="L4" s="696"/>
      <c r="M4" s="697"/>
      <c r="N4" s="73"/>
    </row>
    <row r="5" spans="1:14" ht="14.45" customHeight="1" thickBot="1" x14ac:dyDescent="0.25">
      <c r="A5" s="645"/>
      <c r="B5" s="698"/>
      <c r="C5" s="699"/>
      <c r="D5" s="700"/>
      <c r="E5" s="698"/>
      <c r="F5" s="699"/>
      <c r="G5" s="700"/>
      <c r="H5" s="698"/>
      <c r="I5" s="699"/>
      <c r="J5" s="700"/>
      <c r="K5" s="698"/>
      <c r="L5" s="699"/>
      <c r="M5" s="700"/>
      <c r="N5" s="71"/>
    </row>
    <row r="6" spans="1:14" ht="14.45" customHeight="1" x14ac:dyDescent="0.2">
      <c r="A6" s="645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84" t="s">
        <v>6</v>
      </c>
      <c r="I6" s="557" t="s">
        <v>31</v>
      </c>
      <c r="J6" s="559" t="s">
        <v>32</v>
      </c>
      <c r="K6" s="584" t="s">
        <v>23</v>
      </c>
      <c r="L6" s="557" t="s">
        <v>31</v>
      </c>
      <c r="M6" s="559" t="s">
        <v>32</v>
      </c>
    </row>
    <row r="7" spans="1:14" ht="14.45" customHeight="1" thickBot="1" x14ac:dyDescent="0.25">
      <c r="A7" s="646"/>
      <c r="B7" s="636"/>
      <c r="C7" s="635"/>
      <c r="D7" s="634"/>
      <c r="E7" s="636"/>
      <c r="F7" s="635"/>
      <c r="G7" s="634"/>
      <c r="H7" s="636"/>
      <c r="I7" s="635"/>
      <c r="J7" s="634"/>
      <c r="K7" s="636"/>
      <c r="L7" s="635"/>
      <c r="M7" s="634"/>
    </row>
    <row r="8" spans="1:14" ht="15.95" customHeight="1" x14ac:dyDescent="0.2">
      <c r="A8" s="245" t="s">
        <v>7</v>
      </c>
      <c r="B8" s="247">
        <f>53918317.72+87061614.39</f>
        <v>140979932.11000001</v>
      </c>
      <c r="C8" s="248">
        <f>C20/12</f>
        <v>114125166.66666667</v>
      </c>
      <c r="D8" s="249">
        <f>B8-C8</f>
        <v>26854765.443333343</v>
      </c>
      <c r="E8" s="250">
        <f>3345285.8+5401614.91</f>
        <v>8746900.7100000009</v>
      </c>
      <c r="F8" s="248">
        <f>F20/12</f>
        <v>7118500</v>
      </c>
      <c r="G8" s="249">
        <f>E8-F8</f>
        <v>1628400.7100000009</v>
      </c>
      <c r="H8" s="250">
        <f>5768114.66+1608744.38</f>
        <v>7376859.04</v>
      </c>
      <c r="I8" s="248">
        <f>I20/12</f>
        <v>8478000</v>
      </c>
      <c r="J8" s="251">
        <f>H8-I8</f>
        <v>-1101140.96</v>
      </c>
      <c r="K8" s="250">
        <f>13773556+6291226.27</f>
        <v>20064782.27</v>
      </c>
      <c r="L8" s="248">
        <f>L20/12</f>
        <v>22860250</v>
      </c>
      <c r="M8" s="251">
        <f>K8-L8</f>
        <v>-2795467.7300000004</v>
      </c>
    </row>
    <row r="9" spans="1:14" ht="15.95" customHeight="1" x14ac:dyDescent="0.2">
      <c r="A9" s="246" t="s">
        <v>8</v>
      </c>
      <c r="B9" s="252">
        <f>50346325.25+54727169.91</f>
        <v>105073495.16</v>
      </c>
      <c r="C9" s="253">
        <f>C8*2</f>
        <v>228250333.33333334</v>
      </c>
      <c r="D9" s="249">
        <f>SUM(B8+B9)-C9</f>
        <v>17803093.936666667</v>
      </c>
      <c r="E9" s="247">
        <f>3123666.64+3395469.91</f>
        <v>6519136.5500000007</v>
      </c>
      <c r="F9" s="253">
        <f>F8*2</f>
        <v>14237000</v>
      </c>
      <c r="G9" s="249">
        <f>SUM(E8+E9)-F9</f>
        <v>1029037.2600000016</v>
      </c>
      <c r="H9" s="247">
        <f>1917597.48+1668402.35</f>
        <v>3585999.83</v>
      </c>
      <c r="I9" s="253">
        <f>I8*2</f>
        <v>16956000</v>
      </c>
      <c r="J9" s="249">
        <f>SUM(H8+H9)-I9</f>
        <v>-5993141.129999999</v>
      </c>
      <c r="K9" s="252">
        <f>17085616.8+6554302.58</f>
        <v>23639919.380000003</v>
      </c>
      <c r="L9" s="253">
        <f>L8*2</f>
        <v>45720500</v>
      </c>
      <c r="M9" s="249">
        <f>SUM(K8+K9)-L9</f>
        <v>-2015798.349999994</v>
      </c>
    </row>
    <row r="10" spans="1:14" ht="15.95" customHeight="1" x14ac:dyDescent="0.2">
      <c r="A10" s="246" t="s">
        <v>9</v>
      </c>
      <c r="B10" s="252">
        <f>32816873.24+45429965.46</f>
        <v>78246838.700000003</v>
      </c>
      <c r="C10" s="253">
        <f>C8*3</f>
        <v>342375500</v>
      </c>
      <c r="D10" s="249">
        <f>SUM(B8+B9+B10)-C10</f>
        <v>-18075234.029999971</v>
      </c>
      <c r="E10" s="247">
        <f>2036076.53+2818638.01</f>
        <v>4854714.54</v>
      </c>
      <c r="F10" s="254">
        <f>F8*3</f>
        <v>21355500</v>
      </c>
      <c r="G10" s="249">
        <f>SUM(E8+E9+E10)-F10</f>
        <v>-1234748.1999999993</v>
      </c>
      <c r="H10" s="247">
        <f>4193448.17+9708561.76</f>
        <v>13902009.93</v>
      </c>
      <c r="I10" s="254">
        <f>I8*3</f>
        <v>25434000</v>
      </c>
      <c r="J10" s="249">
        <f>SUM(H8+H9+H10)-I10</f>
        <v>-569131.19999999925</v>
      </c>
      <c r="K10" s="252">
        <f>8822039.71+7352982.24</f>
        <v>16175021.950000001</v>
      </c>
      <c r="L10" s="254">
        <f>L8*3</f>
        <v>68580750</v>
      </c>
      <c r="M10" s="249">
        <f>SUM(K8+K9+K10)-L10</f>
        <v>-8701026.3999999911</v>
      </c>
    </row>
    <row r="11" spans="1:14" ht="15.95" customHeight="1" x14ac:dyDescent="0.2">
      <c r="A11" s="246" t="s">
        <v>10</v>
      </c>
      <c r="B11" s="252">
        <f>29153853.82+52115077.27</f>
        <v>81268931.090000004</v>
      </c>
      <c r="C11" s="253">
        <f>C8*4</f>
        <v>456500666.66666669</v>
      </c>
      <c r="D11" s="249">
        <f>SUM(B8+B9+B10+B11)-C11</f>
        <v>-50931469.606666625</v>
      </c>
      <c r="E11" s="247">
        <f>1808809.64+3233406.35</f>
        <v>5042215.99</v>
      </c>
      <c r="F11" s="253">
        <f>F8*4</f>
        <v>28474000</v>
      </c>
      <c r="G11" s="249">
        <f>SUM(E8+E9+E10+E11)-F11</f>
        <v>-3311032.2100000009</v>
      </c>
      <c r="H11" s="247">
        <v>0</v>
      </c>
      <c r="I11" s="253">
        <f>I8*4</f>
        <v>33912000</v>
      </c>
      <c r="J11" s="249">
        <f>SUM(H8+H9+H10+H11)-I11</f>
        <v>-9047131.1999999993</v>
      </c>
      <c r="K11" s="252">
        <f>10298535.99+8612133.42</f>
        <v>18910669.41</v>
      </c>
      <c r="L11" s="253">
        <f>L8*4</f>
        <v>91441000</v>
      </c>
      <c r="M11" s="249">
        <f>SUM(K8+K9+K10+K11)-L11</f>
        <v>-12650606.989999995</v>
      </c>
    </row>
    <row r="12" spans="1:14" ht="15.95" customHeight="1" x14ac:dyDescent="0.2">
      <c r="A12" s="246" t="s">
        <v>11</v>
      </c>
      <c r="B12" s="252">
        <f>24814559.92+70277129.1</f>
        <v>95091689.019999996</v>
      </c>
      <c r="C12" s="253">
        <f>C8*5</f>
        <v>570625833.33333337</v>
      </c>
      <c r="D12" s="249">
        <f>SUM(B8+B9+B10+B11+B12)-C12</f>
        <v>-69964947.25333333</v>
      </c>
      <c r="E12" s="247">
        <f>1539584.31+4360245.14</f>
        <v>5899829.4499999993</v>
      </c>
      <c r="F12" s="253">
        <f>F8*5</f>
        <v>35592500</v>
      </c>
      <c r="G12" s="249">
        <f>SUM(E8+E9+E10+E11+E12)-F12</f>
        <v>-4529702.7600000016</v>
      </c>
      <c r="H12" s="247">
        <v>0</v>
      </c>
      <c r="I12" s="253">
        <f>I8*5</f>
        <v>42390000</v>
      </c>
      <c r="J12" s="249">
        <f>SUM(H8+H9+H10+H11+H12)-I12</f>
        <v>-17525131.199999999</v>
      </c>
      <c r="K12" s="252">
        <f>11989830.42+9420658.66</f>
        <v>21410489.079999998</v>
      </c>
      <c r="L12" s="253">
        <f>L8*5</f>
        <v>114301250</v>
      </c>
      <c r="M12" s="249">
        <f>SUM(K8+K9+K10+K11+K12)-L12</f>
        <v>-14100367.909999996</v>
      </c>
    </row>
    <row r="13" spans="1:14" ht="15.95" customHeight="1" x14ac:dyDescent="0.2">
      <c r="A13" s="246" t="s">
        <v>12</v>
      </c>
      <c r="B13" s="252">
        <f>48962837.25+79150109.15</f>
        <v>128112946.40000001</v>
      </c>
      <c r="C13" s="253">
        <f>C8*6</f>
        <v>684751000</v>
      </c>
      <c r="D13" s="249">
        <f>SUM(B8+B9+B10+B11+B12+B13)-C13</f>
        <v>-55977167.519999981</v>
      </c>
      <c r="E13" s="247">
        <f>3037830.05+4910756.7</f>
        <v>7948586.75</v>
      </c>
      <c r="F13" s="253">
        <f>F8*6</f>
        <v>42711000</v>
      </c>
      <c r="G13" s="249">
        <f>SUM(E8+E9+E10+E11+E12+E13)-F13</f>
        <v>-3699616.0100000054</v>
      </c>
      <c r="H13" s="247">
        <v>0</v>
      </c>
      <c r="I13" s="253">
        <f>I8*6</f>
        <v>50868000</v>
      </c>
      <c r="J13" s="249">
        <f>SUM(H8+H9+H10+H11+H12+H13)-I13</f>
        <v>-26003131.199999999</v>
      </c>
      <c r="K13" s="252">
        <f>14133157.29+9305486</f>
        <v>23438643.289999999</v>
      </c>
      <c r="L13" s="253">
        <f>L8*6</f>
        <v>137161500</v>
      </c>
      <c r="M13" s="249">
        <f>SUM(K8+K9+K10+K11+K12+K13)-L13</f>
        <v>-13521974.620000005</v>
      </c>
    </row>
    <row r="14" spans="1:14" ht="15.95" customHeight="1" x14ac:dyDescent="0.2">
      <c r="A14" s="246" t="s">
        <v>13</v>
      </c>
      <c r="B14" s="252">
        <f>47725010.04+86044355.83</f>
        <v>133769365.87</v>
      </c>
      <c r="C14" s="253">
        <f>C8*7</f>
        <v>798876166.66666675</v>
      </c>
      <c r="D14" s="249">
        <f>SUM(B8+B9+B10+B11+B12+B13+B14)-C14</f>
        <v>-36332968.316666722</v>
      </c>
      <c r="E14" s="247">
        <f>2961030.79+5338500.47</f>
        <v>8299531.2599999998</v>
      </c>
      <c r="F14" s="253">
        <f>F8*7</f>
        <v>49829500</v>
      </c>
      <c r="G14" s="249">
        <f>SUM(E8+E9+E10+E11+E12+E13+E14)-F14</f>
        <v>-2518584.7500000075</v>
      </c>
      <c r="H14" s="247">
        <f>24556720.67+19714428.22</f>
        <v>44271148.890000001</v>
      </c>
      <c r="I14" s="253">
        <f>I8*7</f>
        <v>59346000</v>
      </c>
      <c r="J14" s="249">
        <f>SUM(H8+H9+H10+H11+H12+H13+H14)-I14</f>
        <v>9790017.6899999976</v>
      </c>
      <c r="K14" s="252">
        <f>19333128.64+10847456.02</f>
        <v>30180584.66</v>
      </c>
      <c r="L14" s="253">
        <f>L8*7</f>
        <v>160021750</v>
      </c>
      <c r="M14" s="249">
        <f>SUM(K8+K9+K10+K11+K12+K13+K14)-L14</f>
        <v>-6201639.9600000083</v>
      </c>
    </row>
    <row r="15" spans="1:14" ht="15.95" customHeight="1" x14ac:dyDescent="0.2">
      <c r="A15" s="246" t="s">
        <v>14</v>
      </c>
      <c r="B15" s="252">
        <f>44205800.97+77373244.36</f>
        <v>121579045.33</v>
      </c>
      <c r="C15" s="253">
        <f>C8*8</f>
        <v>913001333.33333337</v>
      </c>
      <c r="D15" s="249">
        <f>SUM(B8+B9+B10+B11+B12+B13+B14+B15)-C15</f>
        <v>-28879089.653333306</v>
      </c>
      <c r="E15" s="247">
        <f>2742686.46+4800513.61</f>
        <v>7543200.0700000003</v>
      </c>
      <c r="F15" s="253">
        <f>F8*8</f>
        <v>56948000</v>
      </c>
      <c r="G15" s="249">
        <f>SUM(E8+E9+E10+E11+E12+E13+E14+E15)-F15</f>
        <v>-2093884.6800000072</v>
      </c>
      <c r="H15" s="247">
        <v>0</v>
      </c>
      <c r="I15" s="253">
        <f>I8*8</f>
        <v>67824000</v>
      </c>
      <c r="J15" s="249">
        <f>SUM(H8+H9+H10+H11+H12+H13+H14+H15)-I15</f>
        <v>1312017.6899999976</v>
      </c>
      <c r="K15" s="252">
        <f>20637279.46+11510860.28</f>
        <v>32148139.740000002</v>
      </c>
      <c r="L15" s="253">
        <f>L8*8</f>
        <v>182882000</v>
      </c>
      <c r="M15" s="249">
        <f>SUM(K8+K9+K10+K11+K12+K13+K14+K15)-L15</f>
        <v>3086249.7800000012</v>
      </c>
    </row>
    <row r="16" spans="1:14" ht="15.95" customHeight="1" x14ac:dyDescent="0.2">
      <c r="A16" s="246" t="s">
        <v>15</v>
      </c>
      <c r="B16" s="252">
        <f>48008081.76+82525222.58</f>
        <v>130533304.34</v>
      </c>
      <c r="C16" s="253">
        <f>C8*9</f>
        <v>1027126500</v>
      </c>
      <c r="D16" s="249">
        <f>SUM(B8+B9+B10+B11+B12+B13+B14+B15+B16)-C16</f>
        <v>-12470951.9799999</v>
      </c>
      <c r="E16" s="247">
        <f>2978593.57+4687596.08</f>
        <v>7666189.6500000004</v>
      </c>
      <c r="F16" s="253">
        <f>F8*9</f>
        <v>64066500</v>
      </c>
      <c r="G16" s="249">
        <f>SUM(E8+E9+E10+E11+E12+E13+E14+E15+E16)-F16</f>
        <v>-1546195.0300000086</v>
      </c>
      <c r="H16" s="247">
        <f>1382783.8+19404843.93</f>
        <v>20787627.73</v>
      </c>
      <c r="I16" s="253">
        <f>I8*9</f>
        <v>76302000</v>
      </c>
      <c r="J16" s="249">
        <f>SUM(H8+H9+H10+H11+H12+H13+H14+H15+H16)-I16</f>
        <v>13621645.420000002</v>
      </c>
      <c r="K16" s="252">
        <f>18016039.7+12493738.08</f>
        <v>30509777.780000001</v>
      </c>
      <c r="L16" s="253">
        <f>L8*9</f>
        <v>205742250</v>
      </c>
      <c r="M16" s="249">
        <f>SUM(K8+K9+K10+K11+K12+K13+K14+K15+K16)-L16</f>
        <v>10735777.560000002</v>
      </c>
    </row>
    <row r="17" spans="1:13" ht="15.95" customHeight="1" x14ac:dyDescent="0.2">
      <c r="A17" s="246" t="s">
        <v>16</v>
      </c>
      <c r="B17" s="252">
        <f>45730676.89+77540503.84</f>
        <v>123271180.73</v>
      </c>
      <c r="C17" s="253">
        <f>C8*10</f>
        <v>1141251666.6666667</v>
      </c>
      <c r="D17" s="249">
        <f>SUM(B8+B9+B10+B11+B12+B13+B14+B15+B16+B17)-C17</f>
        <v>-3324937.9166667461</v>
      </c>
      <c r="E17" s="247">
        <f>2816705.29+4775978.98</f>
        <v>7592684.2700000005</v>
      </c>
      <c r="F17" s="253">
        <f>F8*10</f>
        <v>71185000</v>
      </c>
      <c r="G17" s="249">
        <f>SUM(E8+E9+E10+E11+E12+E13+E14+E15+E16+E17)-F17</f>
        <v>-1072010.7600000054</v>
      </c>
      <c r="H17" s="247">
        <f>5523696.93+1972276.45</f>
        <v>7495973.3799999999</v>
      </c>
      <c r="I17" s="253">
        <f>I8*10</f>
        <v>84780000</v>
      </c>
      <c r="J17" s="249">
        <f>SUM(H8+H9+H10+H11+H12+H13+H14+H15+H16+H17)-I17</f>
        <v>12639618.799999997</v>
      </c>
      <c r="K17" s="252">
        <f>16071475.66+7709294.35</f>
        <v>23780770.009999998</v>
      </c>
      <c r="L17" s="253">
        <f>L8*10</f>
        <v>228602500</v>
      </c>
      <c r="M17" s="249">
        <f>SUM(K8+K9+K10+K11+K12+K13+K14+K15+K16+K17)-L17</f>
        <v>11656297.569999993</v>
      </c>
    </row>
    <row r="18" spans="1:13" ht="15.95" customHeight="1" x14ac:dyDescent="0.2">
      <c r="A18" s="246" t="s">
        <v>17</v>
      </c>
      <c r="B18" s="252">
        <f>49130798.43+83828889.95</f>
        <v>132959688.38</v>
      </c>
      <c r="C18" s="253">
        <f>C8*11</f>
        <v>1255376833.3333335</v>
      </c>
      <c r="D18" s="249">
        <f>SUM(B8+B9+B10+B11+B12+B13+B14+B15+B16+B17+B18)-C18</f>
        <v>15509583.796666622</v>
      </c>
      <c r="E18" s="247">
        <f>3026130.18+5163301.67</f>
        <v>8189431.8499999996</v>
      </c>
      <c r="F18" s="253">
        <f>F8*11</f>
        <v>78303500</v>
      </c>
      <c r="G18" s="249">
        <f>SUM(E8+E9+E10+E11+E12+E13+E14+E15+E16+E17+E18)-F18</f>
        <v>-1078.9100000113249</v>
      </c>
      <c r="H18" s="247">
        <f>3473137.86+2076383.48</f>
        <v>5549521.3399999999</v>
      </c>
      <c r="I18" s="253">
        <f>I8*11</f>
        <v>93258000</v>
      </c>
      <c r="J18" s="249">
        <f>SUM(H8+H9+H10+H11+H12+H13+H14+H15+H16+H17+H18)-I18</f>
        <v>9711140.1400000006</v>
      </c>
      <c r="K18" s="252">
        <f>17325840.56+8844620.92</f>
        <v>26170461.479999997</v>
      </c>
      <c r="L18" s="253">
        <f>L8*11</f>
        <v>251462750</v>
      </c>
      <c r="M18" s="249">
        <f>SUM(K8+K9+K10+K11+K12+K13+K14+K15+K16+K17+K18)-L18</f>
        <v>14966509.049999982</v>
      </c>
    </row>
    <row r="19" spans="1:13" ht="15.95" customHeight="1" thickBot="1" x14ac:dyDescent="0.25">
      <c r="A19" s="339" t="s">
        <v>18</v>
      </c>
      <c r="B19" s="331">
        <f>46020285.64+115199016.57</f>
        <v>161219302.20999998</v>
      </c>
      <c r="C19" s="332">
        <f>C8*12</f>
        <v>1369502000</v>
      </c>
      <c r="D19" s="249">
        <f>SUM(B8+B9+B10+B11+B12+B13+B14+B15+B16+B17+B18+B19)-C19</f>
        <v>62603719.340000153</v>
      </c>
      <c r="E19" s="333">
        <f>2834543.33+7095492.69</f>
        <v>9930036.0199999996</v>
      </c>
      <c r="F19" s="332">
        <f>F8*12</f>
        <v>85422000</v>
      </c>
      <c r="G19" s="249">
        <f>SUM(E8+E9+E10+E11+E12+E13+E14+E15+E16+E17+E18+E19)-F19</f>
        <v>2810457.1099999845</v>
      </c>
      <c r="H19" s="333">
        <f>1832430.3+28714780.3</f>
        <v>30547210.600000001</v>
      </c>
      <c r="I19" s="332">
        <f>I8*12</f>
        <v>101736000</v>
      </c>
      <c r="J19" s="249">
        <f>SUM(H8+H9+H10+H11+H12+H13+H14+H15+H16+H17+H18+H19)-I19</f>
        <v>31780350.74000001</v>
      </c>
      <c r="K19" s="334">
        <f>16368226.94+14003449.12</f>
        <v>30371676.059999999</v>
      </c>
      <c r="L19" s="332">
        <f>L8*12</f>
        <v>274323000</v>
      </c>
      <c r="M19" s="249">
        <f>SUM(K8+K9+K10+K11+K12+K13+K14+K15+K16+K17+K18+K19)-L19</f>
        <v>22477935.109999955</v>
      </c>
    </row>
    <row r="20" spans="1:13" ht="15.95" customHeight="1" thickBot="1" x14ac:dyDescent="0.25">
      <c r="A20" s="257" t="s">
        <v>19</v>
      </c>
      <c r="B20" s="345">
        <f>SUM(B8:B19)</f>
        <v>1432105719.3400002</v>
      </c>
      <c r="C20" s="258">
        <f>1294199000+75303000</f>
        <v>1369502000</v>
      </c>
      <c r="D20" s="259"/>
      <c r="E20" s="345">
        <f>SUM(E8:E19)</f>
        <v>88232457.109999985</v>
      </c>
      <c r="F20" s="258">
        <f>80725000+4697000</f>
        <v>85422000</v>
      </c>
      <c r="G20" s="260"/>
      <c r="H20" s="345">
        <f>SUM(H8:H19)</f>
        <v>133516350.74000001</v>
      </c>
      <c r="I20" s="258">
        <f>51736000+50000000</f>
        <v>101736000</v>
      </c>
      <c r="J20" s="260"/>
      <c r="K20" s="345">
        <f>SUM(K8:K19)</f>
        <v>296800935.10999995</v>
      </c>
      <c r="L20" s="258">
        <f>224323000+50000000</f>
        <v>274323000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67" t="s">
        <v>2</v>
      </c>
      <c r="B24" s="688" t="s">
        <v>157</v>
      </c>
      <c r="C24" s="689"/>
      <c r="D24" s="690"/>
      <c r="E24" s="694" t="s">
        <v>158</v>
      </c>
      <c r="F24" s="689"/>
      <c r="G24" s="690"/>
      <c r="H24" s="695" t="s">
        <v>22</v>
      </c>
      <c r="I24" s="689"/>
      <c r="J24" s="690"/>
      <c r="K24" s="370"/>
    </row>
    <row r="25" spans="1:13" ht="14.45" customHeight="1" thickBot="1" x14ac:dyDescent="0.25">
      <c r="A25" s="596"/>
      <c r="B25" s="691"/>
      <c r="C25" s="692"/>
      <c r="D25" s="693"/>
      <c r="E25" s="691"/>
      <c r="F25" s="692"/>
      <c r="G25" s="693"/>
      <c r="H25" s="691"/>
      <c r="I25" s="692"/>
      <c r="J25" s="693"/>
      <c r="K25" s="370"/>
    </row>
    <row r="26" spans="1:13" ht="14.45" customHeight="1" x14ac:dyDescent="0.2">
      <c r="A26" s="596"/>
      <c r="B26" s="563" t="s">
        <v>24</v>
      </c>
      <c r="C26" s="557" t="s">
        <v>31</v>
      </c>
      <c r="D26" s="559" t="s">
        <v>32</v>
      </c>
      <c r="E26" s="563" t="s">
        <v>25</v>
      </c>
      <c r="F26" s="557" t="s">
        <v>31</v>
      </c>
      <c r="G26" s="559" t="s">
        <v>32</v>
      </c>
      <c r="H26" s="566" t="s">
        <v>19</v>
      </c>
      <c r="I26" s="557" t="s">
        <v>31</v>
      </c>
      <c r="J26" s="559" t="s">
        <v>32</v>
      </c>
      <c r="K26" s="553" t="s">
        <v>116</v>
      </c>
    </row>
    <row r="27" spans="1:13" ht="14.45" customHeight="1" thickBot="1" x14ac:dyDescent="0.25">
      <c r="A27" s="597"/>
      <c r="B27" s="655"/>
      <c r="C27" s="635"/>
      <c r="D27" s="634"/>
      <c r="E27" s="655"/>
      <c r="F27" s="654"/>
      <c r="G27" s="634"/>
      <c r="H27" s="636"/>
      <c r="I27" s="635"/>
      <c r="J27" s="634"/>
      <c r="K27" s="653"/>
    </row>
    <row r="28" spans="1:13" ht="15.95" customHeight="1" x14ac:dyDescent="0.2">
      <c r="A28" s="261" t="s">
        <v>7</v>
      </c>
      <c r="B28" s="262">
        <f>39796642.64+6213422.46</f>
        <v>46010065.100000001</v>
      </c>
      <c r="C28" s="248">
        <f>C40/12</f>
        <v>180070333.33333334</v>
      </c>
      <c r="D28" s="251">
        <f>B28-C28</f>
        <v>-134060268.23333335</v>
      </c>
      <c r="E28" s="263">
        <f>374689883.13+26051008.69</f>
        <v>400740891.81999999</v>
      </c>
      <c r="F28" s="264">
        <f>F40/12</f>
        <v>421508166.66666669</v>
      </c>
      <c r="G28" s="265">
        <f>E28-F28</f>
        <v>-20767274.846666694</v>
      </c>
      <c r="H28" s="266">
        <f t="shared" ref="H28:H40" si="0">$B8+$E8+$H8+$K8+$B28+$E28</f>
        <v>623919431.04999995</v>
      </c>
      <c r="I28" s="264">
        <f>I40/12</f>
        <v>754160416.66666663</v>
      </c>
      <c r="J28" s="267">
        <f>H28-I28</f>
        <v>-130240985.61666667</v>
      </c>
      <c r="K28" s="268">
        <f>J28/I40</f>
        <v>-1.4391388394563123E-2</v>
      </c>
    </row>
    <row r="29" spans="1:13" ht="15.95" customHeight="1" x14ac:dyDescent="0.2">
      <c r="A29" s="269" t="s">
        <v>8</v>
      </c>
      <c r="B29" s="270">
        <f>8628399.93+7607312.79</f>
        <v>16235712.719999999</v>
      </c>
      <c r="C29" s="253">
        <f>C28*2</f>
        <v>360140666.66666669</v>
      </c>
      <c r="D29" s="249">
        <f>SUM(B28+B29)-C29</f>
        <v>-297894888.84666669</v>
      </c>
      <c r="E29" s="271">
        <f>473189180.59+18722383.21</f>
        <v>491911563.79999995</v>
      </c>
      <c r="F29" s="254">
        <f>F28*2</f>
        <v>843016333.33333337</v>
      </c>
      <c r="G29" s="249">
        <f>SUM(E28+E29)-F29</f>
        <v>49636122.286666512</v>
      </c>
      <c r="H29" s="256">
        <f t="shared" si="0"/>
        <v>646965827.43999994</v>
      </c>
      <c r="I29" s="254">
        <f>I28*2</f>
        <v>1508320833.3333333</v>
      </c>
      <c r="J29" s="249">
        <f>SUM(H28+H29)-I29</f>
        <v>-237435574.84333348</v>
      </c>
      <c r="K29" s="272">
        <f>J29/I40</f>
        <v>-2.6236192547820395E-2</v>
      </c>
    </row>
    <row r="30" spans="1:13" ht="15.95" customHeight="1" x14ac:dyDescent="0.2">
      <c r="A30" s="269" t="s">
        <v>9</v>
      </c>
      <c r="B30" s="273">
        <f>8810570.05+316938469.28</f>
        <v>325749039.32999998</v>
      </c>
      <c r="C30" s="254">
        <f>C28*3</f>
        <v>540211000</v>
      </c>
      <c r="D30" s="249">
        <f>SUM(B28+B29+B30)-C30</f>
        <v>-152216182.85000002</v>
      </c>
      <c r="E30" s="271">
        <f>192778943.05+34193226.79</f>
        <v>226972169.84</v>
      </c>
      <c r="F30" s="254">
        <f>F28*3</f>
        <v>1264524500</v>
      </c>
      <c r="G30" s="249">
        <f>SUM(E28+E29+E30)-F30</f>
        <v>-144899874.5400002</v>
      </c>
      <c r="H30" s="255">
        <f t="shared" si="0"/>
        <v>665899794.28999996</v>
      </c>
      <c r="I30" s="254">
        <f>I28*3</f>
        <v>2262481250</v>
      </c>
      <c r="J30" s="249">
        <f>SUM(H28+H29+H30)-I30</f>
        <v>-325696197.22000027</v>
      </c>
      <c r="K30" s="272">
        <f>J30/I40</f>
        <v>-3.5988828329516574E-2</v>
      </c>
    </row>
    <row r="31" spans="1:13" ht="15.95" customHeight="1" x14ac:dyDescent="0.2">
      <c r="A31" s="269" t="s">
        <v>10</v>
      </c>
      <c r="B31" s="270">
        <f>71290247.72+15063416.13</f>
        <v>86353663.849999994</v>
      </c>
      <c r="C31" s="253">
        <f>C28*4</f>
        <v>720281333.33333337</v>
      </c>
      <c r="D31" s="249">
        <f>SUM(B28+B29+B30+B31)-C31</f>
        <v>-245932852.33333337</v>
      </c>
      <c r="E31" s="274">
        <f>327354774.51+23064275.6</f>
        <v>350419050.11000001</v>
      </c>
      <c r="F31" s="253">
        <f>F28*4</f>
        <v>1686032666.6666667</v>
      </c>
      <c r="G31" s="249">
        <f>SUM(E28+E29+E30+E31)-F31</f>
        <v>-215988991.09666705</v>
      </c>
      <c r="H31" s="255">
        <f t="shared" si="0"/>
        <v>541994530.45000005</v>
      </c>
      <c r="I31" s="253">
        <f>I28*4</f>
        <v>3016641666.6666665</v>
      </c>
      <c r="J31" s="249">
        <f>SUM(H28+H29+H30+H31)-I31</f>
        <v>-537862083.43666697</v>
      </c>
      <c r="K31" s="272">
        <f>J31/I40</f>
        <v>-5.9432766949634057E-2</v>
      </c>
    </row>
    <row r="32" spans="1:13" ht="15.95" customHeight="1" x14ac:dyDescent="0.2">
      <c r="A32" s="269" t="s">
        <v>11</v>
      </c>
      <c r="B32" s="273">
        <f>22588097.83+22240565.96</f>
        <v>44828663.789999999</v>
      </c>
      <c r="C32" s="253">
        <f>C28*5</f>
        <v>900351666.66666675</v>
      </c>
      <c r="D32" s="249">
        <f>SUM(B28+B29+B30+B31+B32)-C32</f>
        <v>-381174521.87666672</v>
      </c>
      <c r="E32" s="274">
        <f>513341493.84+24973352.31</f>
        <v>538314846.14999998</v>
      </c>
      <c r="F32" s="253">
        <f>F28*5</f>
        <v>2107540833.3333335</v>
      </c>
      <c r="G32" s="249">
        <f>SUM(E28+E29+E30+E31+E32)-F32</f>
        <v>-99182311.613333702</v>
      </c>
      <c r="H32" s="255">
        <f t="shared" si="0"/>
        <v>705545517.49000001</v>
      </c>
      <c r="I32" s="253">
        <f>I28*5</f>
        <v>3770802083.333333</v>
      </c>
      <c r="J32" s="249">
        <f>SUM(H28+H29+H30+H31+H32)-I32</f>
        <v>-586476982.6133337</v>
      </c>
      <c r="K32" s="272">
        <f>J32/I40</f>
        <v>-6.4804623531502598E-2</v>
      </c>
    </row>
    <row r="33" spans="1:13" ht="15.95" customHeight="1" x14ac:dyDescent="0.2">
      <c r="A33" s="269" t="s">
        <v>12</v>
      </c>
      <c r="B33" s="270">
        <f>14952209.66+339135637.57</f>
        <v>354087847.23000002</v>
      </c>
      <c r="C33" s="253">
        <f>C28*6</f>
        <v>1080422000</v>
      </c>
      <c r="D33" s="249">
        <f>SUM(B28+B29+B30+B31+B32+B33)-C33</f>
        <v>-207157007.98000002</v>
      </c>
      <c r="E33" s="274">
        <f>324228727.79+27946637.99</f>
        <v>352175365.78000003</v>
      </c>
      <c r="F33" s="253">
        <f>F28*6</f>
        <v>2529049000</v>
      </c>
      <c r="G33" s="249">
        <f>SUM(E28+E29+E30+E31+E32+E33)-F33</f>
        <v>-168515112.5</v>
      </c>
      <c r="H33" s="255">
        <f t="shared" si="0"/>
        <v>865763389.45000005</v>
      </c>
      <c r="I33" s="253">
        <f>I28*6</f>
        <v>4524962500</v>
      </c>
      <c r="J33" s="249">
        <f>SUM(H28+H29+H30+H31+H32+H33)-I33</f>
        <v>-474874009.83000088</v>
      </c>
      <c r="K33" s="272">
        <f>J33/I40</f>
        <v>-5.2472701136197356E-2</v>
      </c>
    </row>
    <row r="34" spans="1:13" ht="15.95" customHeight="1" x14ac:dyDescent="0.2">
      <c r="A34" s="269" t="s">
        <v>13</v>
      </c>
      <c r="B34" s="273">
        <f>391111532.65+158018727.01</f>
        <v>549130259.65999997</v>
      </c>
      <c r="C34" s="253">
        <f>C28*7</f>
        <v>1260492333.3333335</v>
      </c>
      <c r="D34" s="249">
        <f>SUM(B28+B29+B30+B31+B32+B33+B34)-C34</f>
        <v>161902918.34666634</v>
      </c>
      <c r="E34" s="274">
        <f>425768673.91+33606908.72</f>
        <v>459375582.63</v>
      </c>
      <c r="F34" s="253">
        <f>F28*7</f>
        <v>2950557166.666667</v>
      </c>
      <c r="G34" s="249">
        <f>SUM(E28+E29+E30+E31+E32+E33+E34)-F34</f>
        <v>-130647696.53666687</v>
      </c>
      <c r="H34" s="255">
        <f t="shared" si="0"/>
        <v>1225026472.9699998</v>
      </c>
      <c r="I34" s="253">
        <f>I28*7</f>
        <v>5279122916.666666</v>
      </c>
      <c r="J34" s="249">
        <f>SUM(H28+H29+H30+H31+H32+H33+H34)-I34</f>
        <v>-4007953.5266666412</v>
      </c>
      <c r="K34" s="272">
        <f>J34/I40</f>
        <v>-4.4287146320733502E-4</v>
      </c>
    </row>
    <row r="35" spans="1:13" ht="15.95" customHeight="1" x14ac:dyDescent="0.2">
      <c r="A35" s="269" t="s">
        <v>14</v>
      </c>
      <c r="B35" s="270">
        <v>0</v>
      </c>
      <c r="C35" s="253">
        <f>C28*8</f>
        <v>1440562666.6666667</v>
      </c>
      <c r="D35" s="249">
        <f>SUM(B28+B29+B30+B31+B32+B33+B34+B35)-C35</f>
        <v>-18167414.986666918</v>
      </c>
      <c r="E35" s="274">
        <f>479513242.64+37250245.23</f>
        <v>516763487.87</v>
      </c>
      <c r="F35" s="253">
        <f>F28*8</f>
        <v>3372065333.3333335</v>
      </c>
      <c r="G35" s="249">
        <f>SUM(E28+E29+E30+E31+E32+E33+E34+E35)-F35</f>
        <v>-35392375.333333492</v>
      </c>
      <c r="H35" s="255">
        <f t="shared" si="0"/>
        <v>678033873.00999999</v>
      </c>
      <c r="I35" s="253">
        <f>I28*8</f>
        <v>6033283333.333333</v>
      </c>
      <c r="J35" s="249">
        <f>SUM(H28+H29+H30+H31+H32+H33+H34+H35)-I35</f>
        <v>-80134497.183333397</v>
      </c>
      <c r="K35" s="272">
        <f>J35/I40</f>
        <v>-8.8547139543513776E-3</v>
      </c>
    </row>
    <row r="36" spans="1:13" ht="15.95" customHeight="1" x14ac:dyDescent="0.2">
      <c r="A36" s="269" t="s">
        <v>15</v>
      </c>
      <c r="B36" s="273">
        <f>348363871.2</f>
        <v>348363871.19999999</v>
      </c>
      <c r="C36" s="253">
        <f>C28*9</f>
        <v>1620633000</v>
      </c>
      <c r="D36" s="249">
        <f>SUM(B28+B29+B30+B31+B32+B33+B34+B35+B36)-C36</f>
        <v>150126122.87999988</v>
      </c>
      <c r="E36" s="274">
        <f>296376259.77+38349089.18</f>
        <v>334725348.94999999</v>
      </c>
      <c r="F36" s="253">
        <f>F28*9</f>
        <v>3793573500</v>
      </c>
      <c r="G36" s="249">
        <f>SUM(E28+E29+E30+E31+E32+E33+E34+E35+E36)-F36</f>
        <v>-122175193.05000019</v>
      </c>
      <c r="H36" s="255">
        <f t="shared" si="0"/>
        <v>872586119.6500001</v>
      </c>
      <c r="I36" s="253">
        <f>I28*9</f>
        <v>6787443750</v>
      </c>
      <c r="J36" s="249">
        <f>SUM(H28+H29+H30+H31+H32+H33+H34+H35+H36)-I36</f>
        <v>38291205.799999237</v>
      </c>
      <c r="K36" s="272">
        <f>J36/I40</f>
        <v>4.2311075285153456E-3</v>
      </c>
    </row>
    <row r="37" spans="1:13" ht="15.95" customHeight="1" x14ac:dyDescent="0.2">
      <c r="A37" s="269" t="s">
        <v>16</v>
      </c>
      <c r="B37" s="270">
        <f>56297602.03+9576345.85</f>
        <v>65873947.880000003</v>
      </c>
      <c r="C37" s="253">
        <f>C28*10</f>
        <v>1800703333.3333335</v>
      </c>
      <c r="D37" s="249">
        <f>SUM(B28+B29+B30+B31+B32+B33+B34+B35+B36+B37)-C37</f>
        <v>35929737.426666498</v>
      </c>
      <c r="E37" s="274">
        <f>387665015.41+29931646.84</f>
        <v>417596662.25</v>
      </c>
      <c r="F37" s="253">
        <f>F28*10</f>
        <v>4215081666.666667</v>
      </c>
      <c r="G37" s="249">
        <f>SUM(E28+E29+E30+E31+E32+E33+E34+E35+E36+E37)-F37</f>
        <v>-126086697.46666718</v>
      </c>
      <c r="H37" s="255">
        <f t="shared" si="0"/>
        <v>645611218.51999998</v>
      </c>
      <c r="I37" s="253">
        <f>I28*10</f>
        <v>7541604166.666666</v>
      </c>
      <c r="J37" s="249">
        <f>SUM(H28+H29+H30+H31+H32+H33+H34+H35+H36+H37)-I37</f>
        <v>-70257992.346666336</v>
      </c>
      <c r="K37" s="272">
        <f>J37/I40</f>
        <v>-7.7633784088449722E-3</v>
      </c>
    </row>
    <row r="38" spans="1:13" ht="15.95" customHeight="1" x14ac:dyDescent="0.2">
      <c r="A38" s="269" t="s">
        <v>17</v>
      </c>
      <c r="B38" s="270">
        <f>6600879.36</f>
        <v>6600879.3600000003</v>
      </c>
      <c r="C38" s="253">
        <f>C28*11</f>
        <v>1980773666.6666667</v>
      </c>
      <c r="D38" s="249">
        <f>SUM(B28+B29+B30+B31+B32+B33+B34+B35+B36+B37+B38)-C38</f>
        <v>-137539716.54666686</v>
      </c>
      <c r="E38" s="274">
        <f>554848011.98+50009963.36</f>
        <v>604857975.34000003</v>
      </c>
      <c r="F38" s="253">
        <f>F28*11</f>
        <v>4636589833.333334</v>
      </c>
      <c r="G38" s="249">
        <f>SUM(E28+E29+E30+E31+E32+E33+E34+E35+E36+E37+E38)-F38</f>
        <v>57263111.206665993</v>
      </c>
      <c r="H38" s="255">
        <f t="shared" si="0"/>
        <v>784327957.75</v>
      </c>
      <c r="I38" s="253">
        <f>I28*11</f>
        <v>8295764583.333333</v>
      </c>
      <c r="J38" s="249">
        <f>SUM(H28+H29+H30+H31+H32+H33+H34+H35+H36+H37+H38)-I38</f>
        <v>-40090451.263333321</v>
      </c>
      <c r="K38" s="272">
        <f>J38/I40</f>
        <v>-4.4299208295464684E-3</v>
      </c>
    </row>
    <row r="39" spans="1:13" ht="15.95" customHeight="1" thickBot="1" x14ac:dyDescent="0.25">
      <c r="A39" s="340" t="s">
        <v>18</v>
      </c>
      <c r="B39" s="335">
        <f>8212005.19+392405184.3</f>
        <v>400617189.49000001</v>
      </c>
      <c r="C39" s="332">
        <f>C28*12</f>
        <v>2160844000</v>
      </c>
      <c r="D39" s="410">
        <f>SUM(B28+B29+B30+B31+B32+B33+B34+B35+B36+B37+B38+B39)-C39</f>
        <v>83007139.609999657</v>
      </c>
      <c r="E39" s="337">
        <f>365913959.08+38901609.47</f>
        <v>404815568.54999995</v>
      </c>
      <c r="F39" s="332">
        <f>F28*12</f>
        <v>5058098000</v>
      </c>
      <c r="G39" s="249">
        <f>SUM(E28+E29+E30+E31+E32+E33+E34+E35+E36+E37+E38+E39)-F39</f>
        <v>40570513.090000153</v>
      </c>
      <c r="H39" s="275">
        <f t="shared" si="0"/>
        <v>1037500982.9299999</v>
      </c>
      <c r="I39" s="338">
        <f>I28*12</f>
        <v>9049925000</v>
      </c>
      <c r="J39" s="411">
        <f>SUM(H28+H29+H30+H31+H32+H33+H34+H35+H36+H37+H38+H39)-I39</f>
        <v>243250115</v>
      </c>
      <c r="K39" s="272">
        <f>J39/I40</f>
        <v>2.6878688497418486E-2</v>
      </c>
    </row>
    <row r="40" spans="1:13" ht="15.95" customHeight="1" thickBot="1" x14ac:dyDescent="0.25">
      <c r="A40" s="257" t="s">
        <v>19</v>
      </c>
      <c r="B40" s="347">
        <f>SUM(B28:B39)</f>
        <v>2243851139.6099997</v>
      </c>
      <c r="C40" s="276">
        <f>2010844000+150000000</f>
        <v>2160844000</v>
      </c>
      <c r="D40" s="277"/>
      <c r="E40" s="345">
        <f>SUM(E28:E39)</f>
        <v>5098668513.0900002</v>
      </c>
      <c r="F40" s="258">
        <f>4388098000+670000000</f>
        <v>5058098000</v>
      </c>
      <c r="G40" s="278"/>
      <c r="H40" s="351">
        <f t="shared" si="0"/>
        <v>9293175115</v>
      </c>
      <c r="I40" s="279">
        <f>C20+F20+I20+L20+C40+F40</f>
        <v>9049925000</v>
      </c>
      <c r="J40" s="280"/>
      <c r="K40" s="350"/>
    </row>
    <row r="41" spans="1:13" x14ac:dyDescent="0.2">
      <c r="A41" s="659" t="s">
        <v>153</v>
      </c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42:M42"/>
    <mergeCell ref="E26:E27"/>
    <mergeCell ref="F26:F27"/>
    <mergeCell ref="G26:G27"/>
    <mergeCell ref="H26:H27"/>
    <mergeCell ref="I26:I27"/>
    <mergeCell ref="J26:J2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7BAAC-A4D6-4B29-BD97-E4F21E5A300C}">
  <sheetPr>
    <tabColor rgb="FF000000"/>
  </sheetPr>
  <dimension ref="A1:S61"/>
  <sheetViews>
    <sheetView showGridLines="0" showRuler="0" view="pageBreakPreview" topLeftCell="A51" zoomScale="160" zoomScaleNormal="160" zoomScaleSheetLayoutView="160" zoomScalePageLayoutView="160" workbookViewId="0">
      <selection sqref="A1:M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679" t="s">
        <v>161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451"/>
      <c r="Q1" s="451"/>
      <c r="R1" s="452"/>
      <c r="S1" s="452"/>
    </row>
    <row r="2" spans="1:19" ht="20.25" x14ac:dyDescent="0.25">
      <c r="A2" s="681"/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/>
      <c r="Q2"/>
      <c r="R2"/>
      <c r="S2"/>
    </row>
    <row r="3" spans="1:19" ht="12.75" customHeight="1" x14ac:dyDescent="0.25">
      <c r="A3" s="59"/>
    </row>
    <row r="37" spans="1:19" ht="15" x14ac:dyDescent="0.25">
      <c r="I37" s="682" t="s">
        <v>35</v>
      </c>
      <c r="J37" s="683"/>
      <c r="K37" s="683"/>
      <c r="L37" s="683"/>
      <c r="M37" s="683"/>
      <c r="N37" s="683"/>
      <c r="O37" s="683"/>
    </row>
    <row r="38" spans="1:19" ht="28.5" x14ac:dyDescent="0.45">
      <c r="A38" s="679" t="s">
        <v>162</v>
      </c>
      <c r="B38" s="680"/>
      <c r="C38" s="680"/>
      <c r="D38" s="680"/>
      <c r="E38" s="680"/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452"/>
      <c r="Q38" s="452"/>
      <c r="R38" s="452"/>
      <c r="S38" s="452"/>
    </row>
    <row r="39" spans="1:19" ht="20.25" x14ac:dyDescent="0.25">
      <c r="A39" s="681"/>
      <c r="B39" s="680"/>
      <c r="C39" s="680"/>
      <c r="D39" s="680"/>
      <c r="E39" s="680"/>
      <c r="F39" s="680"/>
      <c r="G39" s="680"/>
      <c r="H39" s="680"/>
      <c r="I39" s="680"/>
      <c r="J39" s="680"/>
      <c r="K39" s="680"/>
      <c r="L39" s="680"/>
      <c r="M39" s="680"/>
      <c r="N39" s="680"/>
      <c r="O39" s="680"/>
      <c r="P39"/>
      <c r="Q39"/>
      <c r="R39"/>
      <c r="S39"/>
    </row>
    <row r="61" spans="11:19" x14ac:dyDescent="0.2">
      <c r="K61" s="632"/>
      <c r="L61" s="633"/>
      <c r="M61" s="633"/>
      <c r="N61" s="633"/>
      <c r="O61" s="633"/>
      <c r="P61" s="633"/>
      <c r="Q61" s="633"/>
      <c r="R61" s="633"/>
      <c r="S61" s="633"/>
    </row>
  </sheetData>
  <mergeCells count="6">
    <mergeCell ref="K61:S61"/>
    <mergeCell ref="A1:O1"/>
    <mergeCell ref="A2:O2"/>
    <mergeCell ref="I37:O37"/>
    <mergeCell ref="A38:O38"/>
    <mergeCell ref="A39:O39"/>
  </mergeCells>
  <printOptions horizontalCentered="1"/>
  <pageMargins left="0.51181102362204722" right="0.51181102362204722" top="0.51181102362204722" bottom="0.51181102362204722" header="0.51181102362204722" footer="0.51181102362204722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6DD02-2ADA-4908-AA2F-3AC0AE58DAE2}">
  <sheetPr>
    <tabColor rgb="FF000000"/>
    <pageSetUpPr fitToPage="1"/>
  </sheetPr>
  <dimension ref="A1:N48"/>
  <sheetViews>
    <sheetView showGridLines="0" topLeftCell="A14" zoomScale="140" zoomScaleNormal="140" zoomScaleSheetLayoutView="140" workbookViewId="0">
      <selection activeCell="J21" sqref="J2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85" t="s">
        <v>160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20.25" x14ac:dyDescent="0.3">
      <c r="A2" s="638"/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67" t="s">
        <v>2</v>
      </c>
      <c r="B4" s="694" t="s">
        <v>154</v>
      </c>
      <c r="C4" s="696"/>
      <c r="D4" s="697"/>
      <c r="E4" s="701" t="s">
        <v>159</v>
      </c>
      <c r="F4" s="696"/>
      <c r="G4" s="697"/>
      <c r="H4" s="694" t="s">
        <v>155</v>
      </c>
      <c r="I4" s="696"/>
      <c r="J4" s="697"/>
      <c r="K4" s="688" t="s">
        <v>156</v>
      </c>
      <c r="L4" s="696"/>
      <c r="M4" s="697"/>
      <c r="N4" s="73"/>
    </row>
    <row r="5" spans="1:14" ht="14.45" customHeight="1" thickBot="1" x14ac:dyDescent="0.25">
      <c r="A5" s="645"/>
      <c r="B5" s="698"/>
      <c r="C5" s="699"/>
      <c r="D5" s="700"/>
      <c r="E5" s="698"/>
      <c r="F5" s="699"/>
      <c r="G5" s="700"/>
      <c r="H5" s="698"/>
      <c r="I5" s="699"/>
      <c r="J5" s="700"/>
      <c r="K5" s="698"/>
      <c r="L5" s="699"/>
      <c r="M5" s="700"/>
      <c r="N5" s="71"/>
    </row>
    <row r="6" spans="1:14" ht="14.45" customHeight="1" x14ac:dyDescent="0.2">
      <c r="A6" s="645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84" t="s">
        <v>6</v>
      </c>
      <c r="I6" s="557" t="s">
        <v>31</v>
      </c>
      <c r="J6" s="559" t="s">
        <v>32</v>
      </c>
      <c r="K6" s="584" t="s">
        <v>23</v>
      </c>
      <c r="L6" s="557" t="s">
        <v>31</v>
      </c>
      <c r="M6" s="559" t="s">
        <v>32</v>
      </c>
    </row>
    <row r="7" spans="1:14" ht="14.45" customHeight="1" thickBot="1" x14ac:dyDescent="0.25">
      <c r="A7" s="646"/>
      <c r="B7" s="636"/>
      <c r="C7" s="635"/>
      <c r="D7" s="634"/>
      <c r="E7" s="636"/>
      <c r="F7" s="635"/>
      <c r="G7" s="634"/>
      <c r="H7" s="636"/>
      <c r="I7" s="635"/>
      <c r="J7" s="634"/>
      <c r="K7" s="636"/>
      <c r="L7" s="635"/>
      <c r="M7" s="634"/>
    </row>
    <row r="8" spans="1:14" ht="15.95" customHeight="1" x14ac:dyDescent="0.2">
      <c r="A8" s="245" t="s">
        <v>7</v>
      </c>
      <c r="B8" s="247">
        <f>53918317.72+87061614.39</f>
        <v>140979932.11000001</v>
      </c>
      <c r="C8" s="248">
        <f>C20/12</f>
        <v>114125166.66666667</v>
      </c>
      <c r="D8" s="249">
        <f>B8-C8</f>
        <v>26854765.443333343</v>
      </c>
      <c r="E8" s="250">
        <f>3345285.8+5401614.91</f>
        <v>8746900.7100000009</v>
      </c>
      <c r="F8" s="248">
        <f>F20/12</f>
        <v>7118500</v>
      </c>
      <c r="G8" s="249">
        <f>E8-F8</f>
        <v>1628400.7100000009</v>
      </c>
      <c r="H8" s="250">
        <f>5768114.66+1608744.38</f>
        <v>7376859.04</v>
      </c>
      <c r="I8" s="248">
        <f>I20/12</f>
        <v>8478000</v>
      </c>
      <c r="J8" s="251">
        <f>H8-I8</f>
        <v>-1101140.96</v>
      </c>
      <c r="K8" s="250">
        <f>13773556+6291226.27</f>
        <v>20064782.27</v>
      </c>
      <c r="L8" s="248">
        <f>L20/12</f>
        <v>22860250</v>
      </c>
      <c r="M8" s="251">
        <f>K8-L8</f>
        <v>-2795467.7300000004</v>
      </c>
    </row>
    <row r="9" spans="1:14" ht="15.95" customHeight="1" x14ac:dyDescent="0.2">
      <c r="A9" s="246" t="s">
        <v>8</v>
      </c>
      <c r="B9" s="252">
        <f>50346325.25+54727169.91+B8</f>
        <v>246053427.27000001</v>
      </c>
      <c r="C9" s="253">
        <f>C8*2</f>
        <v>228250333.33333334</v>
      </c>
      <c r="D9" s="249">
        <f>B9-C9</f>
        <v>17803093.936666667</v>
      </c>
      <c r="E9" s="247">
        <f>3123666.64+3395469.91+E8</f>
        <v>15266037.260000002</v>
      </c>
      <c r="F9" s="253">
        <f>F8*2</f>
        <v>14237000</v>
      </c>
      <c r="G9" s="249">
        <f t="shared" ref="G9:G19" si="0">E9-F9</f>
        <v>1029037.2600000016</v>
      </c>
      <c r="H9" s="247">
        <f>1917597.48+1668402.35+H8</f>
        <v>10962858.870000001</v>
      </c>
      <c r="I9" s="253">
        <f>I8*2</f>
        <v>16956000</v>
      </c>
      <c r="J9" s="249">
        <f t="shared" ref="J9:J19" si="1">H9-I9</f>
        <v>-5993141.129999999</v>
      </c>
      <c r="K9" s="252">
        <f>17085616.8+6554302.58+K8</f>
        <v>43704701.650000006</v>
      </c>
      <c r="L9" s="253">
        <f>L8*2</f>
        <v>45720500</v>
      </c>
      <c r="M9" s="249">
        <f t="shared" ref="M9:M19" si="2">K9-L9</f>
        <v>-2015798.349999994</v>
      </c>
    </row>
    <row r="10" spans="1:14" ht="15.95" customHeight="1" x14ac:dyDescent="0.2">
      <c r="A10" s="246" t="s">
        <v>9</v>
      </c>
      <c r="B10" s="252">
        <f>32816873.24+45429965.46+B9</f>
        <v>324300265.97000003</v>
      </c>
      <c r="C10" s="253">
        <f>C8*3</f>
        <v>342375500</v>
      </c>
      <c r="D10" s="249">
        <f>B10-C10</f>
        <v>-18075234.029999971</v>
      </c>
      <c r="E10" s="247">
        <f>2036076.53+2818638.01+E9</f>
        <v>20120751.800000001</v>
      </c>
      <c r="F10" s="254">
        <f>F8*3</f>
        <v>21355500</v>
      </c>
      <c r="G10" s="249">
        <f t="shared" si="0"/>
        <v>-1234748.1999999993</v>
      </c>
      <c r="H10" s="247">
        <f>4193448.17+9708561.76+H9</f>
        <v>24864868.800000001</v>
      </c>
      <c r="I10" s="254">
        <f>I8*3</f>
        <v>25434000</v>
      </c>
      <c r="J10" s="249">
        <f t="shared" si="1"/>
        <v>-569131.19999999925</v>
      </c>
      <c r="K10" s="252">
        <f>8822039.71+7352982.24+K9</f>
        <v>59879723.600000009</v>
      </c>
      <c r="L10" s="254">
        <f>L8*3</f>
        <v>68580750</v>
      </c>
      <c r="M10" s="249">
        <f t="shared" si="2"/>
        <v>-8701026.3999999911</v>
      </c>
    </row>
    <row r="11" spans="1:14" ht="15.95" customHeight="1" x14ac:dyDescent="0.2">
      <c r="A11" s="246" t="s">
        <v>10</v>
      </c>
      <c r="B11" s="252">
        <f>29153853.82+52115077.27+B10</f>
        <v>405569197.06000006</v>
      </c>
      <c r="C11" s="253">
        <f>C8*4</f>
        <v>456500666.66666669</v>
      </c>
      <c r="D11" s="249">
        <f t="shared" ref="D11:D19" si="3">B11-C11</f>
        <v>-50931469.606666625</v>
      </c>
      <c r="E11" s="247">
        <f>1808809.64+3233406.35+E10</f>
        <v>25162967.789999999</v>
      </c>
      <c r="F11" s="253">
        <f>F8*4</f>
        <v>28474000</v>
      </c>
      <c r="G11" s="249">
        <f t="shared" si="0"/>
        <v>-3311032.2100000009</v>
      </c>
      <c r="H11" s="247">
        <f t="shared" ref="H11:H15" si="4">0+H10</f>
        <v>24864868.800000001</v>
      </c>
      <c r="I11" s="253">
        <f>I8*4</f>
        <v>33912000</v>
      </c>
      <c r="J11" s="249">
        <f t="shared" si="1"/>
        <v>-9047131.1999999993</v>
      </c>
      <c r="K11" s="252">
        <f>10298535.99+8612133.42+K10</f>
        <v>78790393.010000005</v>
      </c>
      <c r="L11" s="253">
        <f>L8*4</f>
        <v>91441000</v>
      </c>
      <c r="M11" s="249">
        <f t="shared" si="2"/>
        <v>-12650606.989999995</v>
      </c>
    </row>
    <row r="12" spans="1:14" ht="15.95" customHeight="1" x14ac:dyDescent="0.2">
      <c r="A12" s="246" t="s">
        <v>11</v>
      </c>
      <c r="B12" s="252">
        <f>24814559.92+70277129.1+B11</f>
        <v>500660886.08000004</v>
      </c>
      <c r="C12" s="253">
        <f>C8*5</f>
        <v>570625833.33333337</v>
      </c>
      <c r="D12" s="249">
        <f t="shared" si="3"/>
        <v>-69964947.25333333</v>
      </c>
      <c r="E12" s="247">
        <f>1539584.31+4360245.14+E11</f>
        <v>31062797.239999998</v>
      </c>
      <c r="F12" s="253">
        <f>F8*5</f>
        <v>35592500</v>
      </c>
      <c r="G12" s="249">
        <f t="shared" si="0"/>
        <v>-4529702.7600000016</v>
      </c>
      <c r="H12" s="247">
        <f t="shared" si="4"/>
        <v>24864868.800000001</v>
      </c>
      <c r="I12" s="253">
        <f>I8*5</f>
        <v>42390000</v>
      </c>
      <c r="J12" s="249">
        <f t="shared" si="1"/>
        <v>-17525131.199999999</v>
      </c>
      <c r="K12" s="252">
        <f>11989830.42+9420658.66+K11</f>
        <v>100200882.09</v>
      </c>
      <c r="L12" s="253">
        <f>L8*5</f>
        <v>114301250</v>
      </c>
      <c r="M12" s="249">
        <f>K12-L12</f>
        <v>-14100367.909999996</v>
      </c>
    </row>
    <row r="13" spans="1:14" ht="15.95" customHeight="1" x14ac:dyDescent="0.2">
      <c r="A13" s="246" t="s">
        <v>12</v>
      </c>
      <c r="B13" s="252">
        <f>48962837.25+79150109.15+B12</f>
        <v>628773832.48000002</v>
      </c>
      <c r="C13" s="253">
        <f>C8*6</f>
        <v>684751000</v>
      </c>
      <c r="D13" s="249">
        <f t="shared" si="3"/>
        <v>-55977167.519999981</v>
      </c>
      <c r="E13" s="247">
        <f>3037830.05+4910756.7+E12</f>
        <v>39011383.989999995</v>
      </c>
      <c r="F13" s="253">
        <f>F8*6</f>
        <v>42711000</v>
      </c>
      <c r="G13" s="249">
        <f t="shared" si="0"/>
        <v>-3699616.0100000054</v>
      </c>
      <c r="H13" s="247">
        <f t="shared" si="4"/>
        <v>24864868.800000001</v>
      </c>
      <c r="I13" s="253">
        <f>I8*6</f>
        <v>50868000</v>
      </c>
      <c r="J13" s="249">
        <f t="shared" si="1"/>
        <v>-26003131.199999999</v>
      </c>
      <c r="K13" s="252">
        <f>14133157.29+9305486+K12</f>
        <v>123639525.38</v>
      </c>
      <c r="L13" s="253">
        <f>L8*6</f>
        <v>137161500</v>
      </c>
      <c r="M13" s="249">
        <f t="shared" si="2"/>
        <v>-13521974.620000005</v>
      </c>
    </row>
    <row r="14" spans="1:14" ht="15.95" customHeight="1" x14ac:dyDescent="0.2">
      <c r="A14" s="246" t="s">
        <v>13</v>
      </c>
      <c r="B14" s="252">
        <f>47725010.04+86044355.83+B13</f>
        <v>762543198.35000002</v>
      </c>
      <c r="C14" s="253">
        <f>C8*7</f>
        <v>798876166.66666675</v>
      </c>
      <c r="D14" s="249">
        <f t="shared" si="3"/>
        <v>-36332968.316666722</v>
      </c>
      <c r="E14" s="247">
        <f>2961030.79+5338500.47+E13</f>
        <v>47310915.249999993</v>
      </c>
      <c r="F14" s="253">
        <f>F8*7</f>
        <v>49829500</v>
      </c>
      <c r="G14" s="249">
        <f t="shared" si="0"/>
        <v>-2518584.7500000075</v>
      </c>
      <c r="H14" s="247">
        <f>24556720.67+19714428.22+H13</f>
        <v>69136017.689999998</v>
      </c>
      <c r="I14" s="253">
        <f>I8*7</f>
        <v>59346000</v>
      </c>
      <c r="J14" s="249">
        <f t="shared" si="1"/>
        <v>9790017.6899999976</v>
      </c>
      <c r="K14" s="252">
        <f>19333128.64+10847456.02+K13</f>
        <v>153820110.03999999</v>
      </c>
      <c r="L14" s="253">
        <f>L8*7</f>
        <v>160021750</v>
      </c>
      <c r="M14" s="249">
        <f t="shared" si="2"/>
        <v>-6201639.9600000083</v>
      </c>
    </row>
    <row r="15" spans="1:14" ht="15.95" customHeight="1" x14ac:dyDescent="0.2">
      <c r="A15" s="246" t="s">
        <v>14</v>
      </c>
      <c r="B15" s="252">
        <f>44205800.97+77373244.36+B14</f>
        <v>884122243.68000007</v>
      </c>
      <c r="C15" s="253">
        <f>C8*8</f>
        <v>913001333.33333337</v>
      </c>
      <c r="D15" s="249">
        <f t="shared" si="3"/>
        <v>-28879089.653333306</v>
      </c>
      <c r="E15" s="247">
        <f>2742686.46+4800513.61+E14</f>
        <v>54854115.319999993</v>
      </c>
      <c r="F15" s="253">
        <f>F8*8</f>
        <v>56948000</v>
      </c>
      <c r="G15" s="249">
        <f t="shared" si="0"/>
        <v>-2093884.6800000072</v>
      </c>
      <c r="H15" s="247">
        <f t="shared" si="4"/>
        <v>69136017.689999998</v>
      </c>
      <c r="I15" s="253">
        <f>I8*8</f>
        <v>67824000</v>
      </c>
      <c r="J15" s="249">
        <f t="shared" si="1"/>
        <v>1312017.6899999976</v>
      </c>
      <c r="K15" s="252">
        <f>20637279.46+11510860.28+K14</f>
        <v>185968249.78</v>
      </c>
      <c r="L15" s="253">
        <f>L8*8</f>
        <v>182882000</v>
      </c>
      <c r="M15" s="249">
        <f t="shared" si="2"/>
        <v>3086249.7800000012</v>
      </c>
    </row>
    <row r="16" spans="1:14" ht="15.95" customHeight="1" x14ac:dyDescent="0.2">
      <c r="A16" s="246" t="s">
        <v>15</v>
      </c>
      <c r="B16" s="252">
        <f>48008081.76+82525222.58+B15</f>
        <v>1014655548.0200001</v>
      </c>
      <c r="C16" s="253">
        <f>C8*9</f>
        <v>1027126500</v>
      </c>
      <c r="D16" s="249">
        <f t="shared" si="3"/>
        <v>-12470951.9799999</v>
      </c>
      <c r="E16" s="247">
        <f>2978593.57+4687596.08+E15</f>
        <v>62520304.969999991</v>
      </c>
      <c r="F16" s="253">
        <f>F8*9</f>
        <v>64066500</v>
      </c>
      <c r="G16" s="249">
        <f t="shared" si="0"/>
        <v>-1546195.0300000086</v>
      </c>
      <c r="H16" s="247">
        <f>1382783.8+19404843.93+H15</f>
        <v>89923645.420000002</v>
      </c>
      <c r="I16" s="253">
        <f>I8*9</f>
        <v>76302000</v>
      </c>
      <c r="J16" s="249">
        <f t="shared" si="1"/>
        <v>13621645.420000002</v>
      </c>
      <c r="K16" s="252">
        <f>18016039.7+12493738.08+K15</f>
        <v>216478027.56</v>
      </c>
      <c r="L16" s="253">
        <f>L8*9</f>
        <v>205742250</v>
      </c>
      <c r="M16" s="249">
        <f t="shared" si="2"/>
        <v>10735777.560000002</v>
      </c>
    </row>
    <row r="17" spans="1:13" ht="15.95" customHeight="1" x14ac:dyDescent="0.2">
      <c r="A17" s="246" t="s">
        <v>16</v>
      </c>
      <c r="B17" s="252">
        <f>45730676.89+77540503.84+B16</f>
        <v>1137926728.75</v>
      </c>
      <c r="C17" s="253">
        <f>C8*10</f>
        <v>1141251666.6666667</v>
      </c>
      <c r="D17" s="249">
        <f t="shared" si="3"/>
        <v>-3324937.9166667461</v>
      </c>
      <c r="E17" s="247">
        <f>2816705.29+4775978.98+E16</f>
        <v>70112989.239999995</v>
      </c>
      <c r="F17" s="253">
        <f>F8*10</f>
        <v>71185000</v>
      </c>
      <c r="G17" s="249">
        <f t="shared" si="0"/>
        <v>-1072010.7600000054</v>
      </c>
      <c r="H17" s="247">
        <f>5523696.93+1972276.45+H16</f>
        <v>97419618.799999997</v>
      </c>
      <c r="I17" s="253">
        <f>I8*10</f>
        <v>84780000</v>
      </c>
      <c r="J17" s="249">
        <f t="shared" si="1"/>
        <v>12639618.799999997</v>
      </c>
      <c r="K17" s="252">
        <f>16071475.66+7709294.35+K16</f>
        <v>240258797.56999999</v>
      </c>
      <c r="L17" s="253">
        <f>L8*10</f>
        <v>228602500</v>
      </c>
      <c r="M17" s="249">
        <f t="shared" si="2"/>
        <v>11656297.569999993</v>
      </c>
    </row>
    <row r="18" spans="1:13" ht="15.95" customHeight="1" x14ac:dyDescent="0.2">
      <c r="A18" s="246" t="s">
        <v>17</v>
      </c>
      <c r="B18" s="252">
        <f>49130798.43+83828889.95+B17</f>
        <v>1270886417.1300001</v>
      </c>
      <c r="C18" s="253">
        <f>C8*11</f>
        <v>1255376833.3333335</v>
      </c>
      <c r="D18" s="249">
        <f t="shared" si="3"/>
        <v>15509583.796666622</v>
      </c>
      <c r="E18" s="247">
        <f>3026130.18+5163301.67+E17</f>
        <v>78302421.089999989</v>
      </c>
      <c r="F18" s="253">
        <f>F8*11</f>
        <v>78303500</v>
      </c>
      <c r="G18" s="249">
        <f t="shared" si="0"/>
        <v>-1078.9100000113249</v>
      </c>
      <c r="H18" s="247">
        <f>3473137.86+2076383.48+H17</f>
        <v>102969140.14</v>
      </c>
      <c r="I18" s="253">
        <f>I8*11</f>
        <v>93258000</v>
      </c>
      <c r="J18" s="249">
        <f t="shared" si="1"/>
        <v>9711140.1400000006</v>
      </c>
      <c r="K18" s="252">
        <f>17325840.56+8844620.92+K17</f>
        <v>266429259.04999998</v>
      </c>
      <c r="L18" s="253">
        <f>L8*11</f>
        <v>251462750</v>
      </c>
      <c r="M18" s="249">
        <f t="shared" si="2"/>
        <v>14966509.049999982</v>
      </c>
    </row>
    <row r="19" spans="1:13" ht="15.95" customHeight="1" thickBot="1" x14ac:dyDescent="0.25">
      <c r="A19" s="339" t="s">
        <v>18</v>
      </c>
      <c r="B19" s="252">
        <f>46020285.64+115199016.57+B18</f>
        <v>1432105719.3400002</v>
      </c>
      <c r="C19" s="332">
        <f>C8*12</f>
        <v>1369502000</v>
      </c>
      <c r="D19" s="249">
        <f t="shared" si="3"/>
        <v>62603719.340000153</v>
      </c>
      <c r="E19" s="247">
        <f>2834543.33+7095492.69+E18</f>
        <v>88232457.109999985</v>
      </c>
      <c r="F19" s="332">
        <f>F8*12</f>
        <v>85422000</v>
      </c>
      <c r="G19" s="249">
        <f t="shared" si="0"/>
        <v>2810457.1099999845</v>
      </c>
      <c r="H19" s="247">
        <f>1832430.3+28714780.3+H18</f>
        <v>133516350.74000001</v>
      </c>
      <c r="I19" s="332">
        <f>I8*12</f>
        <v>101736000</v>
      </c>
      <c r="J19" s="249">
        <f t="shared" si="1"/>
        <v>31780350.74000001</v>
      </c>
      <c r="K19" s="252">
        <f>16368226.94+14003449.12+K18</f>
        <v>296800935.10999995</v>
      </c>
      <c r="L19" s="332">
        <f>L8*12</f>
        <v>274323000</v>
      </c>
      <c r="M19" s="249">
        <f t="shared" si="2"/>
        <v>22477935.109999955</v>
      </c>
    </row>
    <row r="20" spans="1:13" ht="15.95" customHeight="1" thickBot="1" x14ac:dyDescent="0.25">
      <c r="A20" s="257" t="s">
        <v>19</v>
      </c>
      <c r="B20" s="345">
        <f>B19</f>
        <v>1432105719.3400002</v>
      </c>
      <c r="C20" s="258">
        <f>1294199000+75303000</f>
        <v>1369502000</v>
      </c>
      <c r="D20" s="259"/>
      <c r="E20" s="345">
        <f>E19</f>
        <v>88232457.109999985</v>
      </c>
      <c r="F20" s="258">
        <f>80725000+4697000</f>
        <v>85422000</v>
      </c>
      <c r="G20" s="260"/>
      <c r="H20" s="345">
        <f>H19</f>
        <v>133516350.74000001</v>
      </c>
      <c r="I20" s="258">
        <f>51736000+50000000</f>
        <v>101736000</v>
      </c>
      <c r="J20" s="260"/>
      <c r="K20" s="345">
        <f>K19</f>
        <v>296800935.10999995</v>
      </c>
      <c r="L20" s="258">
        <f>224323000+50000000</f>
        <v>274323000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67" t="s">
        <v>2</v>
      </c>
      <c r="B24" s="688" t="s">
        <v>157</v>
      </c>
      <c r="C24" s="689"/>
      <c r="D24" s="690"/>
      <c r="E24" s="694" t="s">
        <v>158</v>
      </c>
      <c r="F24" s="689"/>
      <c r="G24" s="690"/>
      <c r="H24" s="695" t="s">
        <v>22</v>
      </c>
      <c r="I24" s="689"/>
      <c r="J24" s="690"/>
      <c r="K24" s="370"/>
    </row>
    <row r="25" spans="1:13" ht="14.45" customHeight="1" thickBot="1" x14ac:dyDescent="0.25">
      <c r="A25" s="645"/>
      <c r="B25" s="691"/>
      <c r="C25" s="692"/>
      <c r="D25" s="693"/>
      <c r="E25" s="691"/>
      <c r="F25" s="692"/>
      <c r="G25" s="693"/>
      <c r="H25" s="691"/>
      <c r="I25" s="692"/>
      <c r="J25" s="693"/>
      <c r="K25" s="370"/>
    </row>
    <row r="26" spans="1:13" ht="14.45" customHeight="1" x14ac:dyDescent="0.2">
      <c r="A26" s="645"/>
      <c r="B26" s="563" t="s">
        <v>24</v>
      </c>
      <c r="C26" s="557" t="s">
        <v>31</v>
      </c>
      <c r="D26" s="559" t="s">
        <v>32</v>
      </c>
      <c r="E26" s="563" t="s">
        <v>25</v>
      </c>
      <c r="F26" s="557" t="s">
        <v>31</v>
      </c>
      <c r="G26" s="559" t="s">
        <v>32</v>
      </c>
      <c r="H26" s="566" t="s">
        <v>19</v>
      </c>
      <c r="I26" s="557" t="s">
        <v>31</v>
      </c>
      <c r="J26" s="559" t="s">
        <v>32</v>
      </c>
      <c r="K26" s="553" t="s">
        <v>148</v>
      </c>
    </row>
    <row r="27" spans="1:13" ht="14.45" customHeight="1" thickBot="1" x14ac:dyDescent="0.25">
      <c r="A27" s="646"/>
      <c r="B27" s="655"/>
      <c r="C27" s="635"/>
      <c r="D27" s="634"/>
      <c r="E27" s="655"/>
      <c r="F27" s="654"/>
      <c r="G27" s="634"/>
      <c r="H27" s="636"/>
      <c r="I27" s="635"/>
      <c r="J27" s="634"/>
      <c r="K27" s="653"/>
    </row>
    <row r="28" spans="1:13" ht="15.95" customHeight="1" x14ac:dyDescent="0.2">
      <c r="A28" s="261" t="s">
        <v>7</v>
      </c>
      <c r="B28" s="262">
        <f>39796642.64+6213422.46</f>
        <v>46010065.100000001</v>
      </c>
      <c r="C28" s="248">
        <f>C40/12</f>
        <v>180070333.33333334</v>
      </c>
      <c r="D28" s="251">
        <f>B28-C28</f>
        <v>-134060268.23333335</v>
      </c>
      <c r="E28" s="263">
        <f>374689883.13+26051008.69</f>
        <v>400740891.81999999</v>
      </c>
      <c r="F28" s="264">
        <f>F40/12</f>
        <v>421508166.66666669</v>
      </c>
      <c r="G28" s="265">
        <f>E28-F28</f>
        <v>-20767274.846666694</v>
      </c>
      <c r="H28" s="266">
        <f t="shared" ref="H28:H40" si="5">$B8+$E8+$H8+$K8+$B28+$E28</f>
        <v>623919431.04999995</v>
      </c>
      <c r="I28" s="264">
        <f>I40/12</f>
        <v>754160416.66666663</v>
      </c>
      <c r="J28" s="267">
        <f>H28-I28</f>
        <v>-130240985.61666667</v>
      </c>
      <c r="K28" s="268">
        <f>J28/I40</f>
        <v>-1.4391388394563123E-2</v>
      </c>
    </row>
    <row r="29" spans="1:13" ht="15.95" customHeight="1" x14ac:dyDescent="0.2">
      <c r="A29" s="269" t="s">
        <v>8</v>
      </c>
      <c r="B29" s="270">
        <f>8628399.93+7607312.79+B28</f>
        <v>62245777.82</v>
      </c>
      <c r="C29" s="253">
        <f>C28*2</f>
        <v>360140666.66666669</v>
      </c>
      <c r="D29" s="249">
        <f t="shared" ref="D29:D39" si="6">B29-C29</f>
        <v>-297894888.84666669</v>
      </c>
      <c r="E29" s="271">
        <f>473189180.59+18722383.21+E28</f>
        <v>892652455.61999989</v>
      </c>
      <c r="F29" s="254">
        <f>F28*2</f>
        <v>843016333.33333337</v>
      </c>
      <c r="G29" s="249">
        <f t="shared" ref="G29:G39" si="7">E29-F29</f>
        <v>49636122.286666512</v>
      </c>
      <c r="H29" s="256">
        <f t="shared" si="5"/>
        <v>1270885258.4899998</v>
      </c>
      <c r="I29" s="254">
        <f>I28*2</f>
        <v>1508320833.3333333</v>
      </c>
      <c r="J29" s="249">
        <f t="shared" ref="J29:J39" si="8">H29-I29</f>
        <v>-237435574.84333348</v>
      </c>
      <c r="K29" s="272">
        <f>J29/I40</f>
        <v>-2.6236192547820395E-2</v>
      </c>
    </row>
    <row r="30" spans="1:13" ht="15.95" customHeight="1" x14ac:dyDescent="0.2">
      <c r="A30" s="269" t="s">
        <v>9</v>
      </c>
      <c r="B30" s="270">
        <f>8810570.05+316938469.28+B29</f>
        <v>387994817.14999998</v>
      </c>
      <c r="C30" s="254">
        <f>C28*3</f>
        <v>540211000</v>
      </c>
      <c r="D30" s="249">
        <f t="shared" si="6"/>
        <v>-152216182.85000002</v>
      </c>
      <c r="E30" s="271">
        <f>192778943.05+34193226.79+E29</f>
        <v>1119624625.4599998</v>
      </c>
      <c r="F30" s="254">
        <f>F28*3</f>
        <v>1264524500</v>
      </c>
      <c r="G30" s="249">
        <f t="shared" si="7"/>
        <v>-144899874.5400002</v>
      </c>
      <c r="H30" s="255">
        <f t="shared" si="5"/>
        <v>1936785052.7799997</v>
      </c>
      <c r="I30" s="254">
        <f>I28*3</f>
        <v>2262481250</v>
      </c>
      <c r="J30" s="249">
        <f t="shared" si="8"/>
        <v>-325696197.22000027</v>
      </c>
      <c r="K30" s="272">
        <f>J30/I40</f>
        <v>-3.5988828329516574E-2</v>
      </c>
    </row>
    <row r="31" spans="1:13" ht="15.95" customHeight="1" x14ac:dyDescent="0.2">
      <c r="A31" s="269" t="s">
        <v>10</v>
      </c>
      <c r="B31" s="270">
        <f>71290247.72+15063416.13+B30</f>
        <v>474348481</v>
      </c>
      <c r="C31" s="253">
        <f>C28*4</f>
        <v>720281333.33333337</v>
      </c>
      <c r="D31" s="249">
        <f t="shared" si="6"/>
        <v>-245932852.33333337</v>
      </c>
      <c r="E31" s="271">
        <f>327354774.51+23064275.6+E30</f>
        <v>1470043675.5699997</v>
      </c>
      <c r="F31" s="253">
        <f>F28*4</f>
        <v>1686032666.6666667</v>
      </c>
      <c r="G31" s="249">
        <f t="shared" si="7"/>
        <v>-215988991.09666705</v>
      </c>
      <c r="H31" s="255">
        <f t="shared" si="5"/>
        <v>2478779583.2299995</v>
      </c>
      <c r="I31" s="253">
        <f>I28*4</f>
        <v>3016641666.6666665</v>
      </c>
      <c r="J31" s="249">
        <f t="shared" si="8"/>
        <v>-537862083.43666697</v>
      </c>
      <c r="K31" s="272">
        <f>J31/I40</f>
        <v>-5.9432766949634057E-2</v>
      </c>
    </row>
    <row r="32" spans="1:13" ht="15.95" customHeight="1" x14ac:dyDescent="0.2">
      <c r="A32" s="269" t="s">
        <v>11</v>
      </c>
      <c r="B32" s="270">
        <f>22588097.83+22240565.96+B31</f>
        <v>519177144.79000002</v>
      </c>
      <c r="C32" s="253">
        <f>C28*5</f>
        <v>900351666.66666675</v>
      </c>
      <c r="D32" s="249">
        <f t="shared" si="6"/>
        <v>-381174521.87666672</v>
      </c>
      <c r="E32" s="271">
        <f>513341493.84+24973352.31+E31</f>
        <v>2008358521.7199998</v>
      </c>
      <c r="F32" s="253">
        <f>F28*5</f>
        <v>2107540833.3333335</v>
      </c>
      <c r="G32" s="249">
        <f t="shared" si="7"/>
        <v>-99182311.613333702</v>
      </c>
      <c r="H32" s="255">
        <f t="shared" si="5"/>
        <v>3184325100.7199998</v>
      </c>
      <c r="I32" s="253">
        <f>I28*5</f>
        <v>3770802083.333333</v>
      </c>
      <c r="J32" s="249">
        <f t="shared" si="8"/>
        <v>-586476982.61333323</v>
      </c>
      <c r="K32" s="272">
        <f>J32/I40</f>
        <v>-6.4804623531502556E-2</v>
      </c>
    </row>
    <row r="33" spans="1:13" ht="15.95" customHeight="1" x14ac:dyDescent="0.2">
      <c r="A33" s="269" t="s">
        <v>12</v>
      </c>
      <c r="B33" s="270">
        <f>14952209.66+339135637.57+B32</f>
        <v>873264992.01999998</v>
      </c>
      <c r="C33" s="253">
        <f>C28*6</f>
        <v>1080422000</v>
      </c>
      <c r="D33" s="249">
        <f t="shared" si="6"/>
        <v>-207157007.98000002</v>
      </c>
      <c r="E33" s="271">
        <f>324228727.79+27946637.99+E32</f>
        <v>2360533887.5</v>
      </c>
      <c r="F33" s="253">
        <f>F28*6</f>
        <v>2529049000</v>
      </c>
      <c r="G33" s="249">
        <f t="shared" si="7"/>
        <v>-168515112.5</v>
      </c>
      <c r="H33" s="255">
        <f t="shared" si="5"/>
        <v>4050088490.1700001</v>
      </c>
      <c r="I33" s="253">
        <f>I28*6</f>
        <v>4524962500</v>
      </c>
      <c r="J33" s="249">
        <f t="shared" si="8"/>
        <v>-474874009.82999992</v>
      </c>
      <c r="K33" s="272">
        <f>J33/I40</f>
        <v>-5.2472701136197251E-2</v>
      </c>
    </row>
    <row r="34" spans="1:13" ht="15.95" customHeight="1" x14ac:dyDescent="0.2">
      <c r="A34" s="269" t="s">
        <v>13</v>
      </c>
      <c r="B34" s="270">
        <f>391111532.65+158018727.01+B33</f>
        <v>1422395251.6799998</v>
      </c>
      <c r="C34" s="253">
        <f>C28*7</f>
        <v>1260492333.3333335</v>
      </c>
      <c r="D34" s="249">
        <f t="shared" si="6"/>
        <v>161902918.34666634</v>
      </c>
      <c r="E34" s="271">
        <f>425768673.91+33606908.72+E33</f>
        <v>2819909470.1300001</v>
      </c>
      <c r="F34" s="253">
        <f>F28*7</f>
        <v>2950557166.666667</v>
      </c>
      <c r="G34" s="249">
        <f t="shared" si="7"/>
        <v>-130647696.53666687</v>
      </c>
      <c r="H34" s="255">
        <f t="shared" si="5"/>
        <v>5275114963.1399994</v>
      </c>
      <c r="I34" s="253">
        <f>I28*7</f>
        <v>5279122916.666666</v>
      </c>
      <c r="J34" s="249">
        <f t="shared" si="8"/>
        <v>-4007953.5266666412</v>
      </c>
      <c r="K34" s="272">
        <f>J34/I40</f>
        <v>-4.4287146320733502E-4</v>
      </c>
    </row>
    <row r="35" spans="1:13" ht="15.95" customHeight="1" x14ac:dyDescent="0.2">
      <c r="A35" s="269" t="s">
        <v>14</v>
      </c>
      <c r="B35" s="270">
        <f t="shared" ref="B35" si="9">0+B34</f>
        <v>1422395251.6799998</v>
      </c>
      <c r="C35" s="253">
        <f>C28*8</f>
        <v>1440562666.6666667</v>
      </c>
      <c r="D35" s="249">
        <f t="shared" si="6"/>
        <v>-18167414.986666918</v>
      </c>
      <c r="E35" s="271">
        <f>479513242.64+37250245.23+E34</f>
        <v>3336672958</v>
      </c>
      <c r="F35" s="253">
        <f>F28*8</f>
        <v>3372065333.3333335</v>
      </c>
      <c r="G35" s="249">
        <f t="shared" si="7"/>
        <v>-35392375.333333492</v>
      </c>
      <c r="H35" s="255">
        <f t="shared" si="5"/>
        <v>5953148836.1499996</v>
      </c>
      <c r="I35" s="253">
        <f>I28*8</f>
        <v>6033283333.333333</v>
      </c>
      <c r="J35" s="249">
        <f t="shared" si="8"/>
        <v>-80134497.183333397</v>
      </c>
      <c r="K35" s="272">
        <f>J35/I40</f>
        <v>-8.8547139543513776E-3</v>
      </c>
    </row>
    <row r="36" spans="1:13" ht="15.95" customHeight="1" x14ac:dyDescent="0.2">
      <c r="A36" s="269" t="s">
        <v>15</v>
      </c>
      <c r="B36" s="270">
        <f>348363871.2+B35</f>
        <v>1770759122.8799999</v>
      </c>
      <c r="C36" s="253">
        <f>C28*9</f>
        <v>1620633000</v>
      </c>
      <c r="D36" s="249">
        <f t="shared" si="6"/>
        <v>150126122.87999988</v>
      </c>
      <c r="E36" s="271">
        <f>296376259.77+38349089.18+E35</f>
        <v>3671398306.9499998</v>
      </c>
      <c r="F36" s="253">
        <f>F28*9</f>
        <v>3793573500</v>
      </c>
      <c r="G36" s="249">
        <f t="shared" si="7"/>
        <v>-122175193.05000019</v>
      </c>
      <c r="H36" s="255">
        <f t="shared" si="5"/>
        <v>6825734955.7999992</v>
      </c>
      <c r="I36" s="253">
        <f>I28*9</f>
        <v>6787443750</v>
      </c>
      <c r="J36" s="249">
        <f t="shared" si="8"/>
        <v>38291205.799999237</v>
      </c>
      <c r="K36" s="272">
        <f>J36/I40</f>
        <v>4.2311075285153456E-3</v>
      </c>
    </row>
    <row r="37" spans="1:13" ht="15.95" customHeight="1" x14ac:dyDescent="0.2">
      <c r="A37" s="269" t="s">
        <v>16</v>
      </c>
      <c r="B37" s="270">
        <f>56297602.03+9576345.85+B36</f>
        <v>1836633070.76</v>
      </c>
      <c r="C37" s="253">
        <f>C28*10</f>
        <v>1800703333.3333335</v>
      </c>
      <c r="D37" s="249">
        <f t="shared" si="6"/>
        <v>35929737.426666498</v>
      </c>
      <c r="E37" s="271">
        <f>387665015.41+29931646.84+E36</f>
        <v>4088994969.1999998</v>
      </c>
      <c r="F37" s="253">
        <f>F28*10</f>
        <v>4215081666.666667</v>
      </c>
      <c r="G37" s="249">
        <f>E37-F37</f>
        <v>-126086697.46666718</v>
      </c>
      <c r="H37" s="255">
        <f t="shared" si="5"/>
        <v>7471346174.3199997</v>
      </c>
      <c r="I37" s="253">
        <f>I28*10</f>
        <v>7541604166.666666</v>
      </c>
      <c r="J37" s="249">
        <f t="shared" si="8"/>
        <v>-70257992.346666336</v>
      </c>
      <c r="K37" s="272">
        <f>J37/I40</f>
        <v>-7.7633784088449722E-3</v>
      </c>
    </row>
    <row r="38" spans="1:13" ht="15.95" customHeight="1" x14ac:dyDescent="0.2">
      <c r="A38" s="269" t="s">
        <v>17</v>
      </c>
      <c r="B38" s="270">
        <f>6600879.36+B37</f>
        <v>1843233950.1199999</v>
      </c>
      <c r="C38" s="253">
        <f>C28*11</f>
        <v>1980773666.6666667</v>
      </c>
      <c r="D38" s="249">
        <f t="shared" si="6"/>
        <v>-137539716.54666686</v>
      </c>
      <c r="E38" s="271">
        <f>554848011.98+50009963.36+E37</f>
        <v>4693852944.54</v>
      </c>
      <c r="F38" s="253">
        <f>F28*11</f>
        <v>4636589833.333334</v>
      </c>
      <c r="G38" s="249">
        <f t="shared" si="7"/>
        <v>57263111.206665993</v>
      </c>
      <c r="H38" s="255">
        <f t="shared" si="5"/>
        <v>8255674132.0699997</v>
      </c>
      <c r="I38" s="253">
        <f>I28*11</f>
        <v>8295764583.333333</v>
      </c>
      <c r="J38" s="249">
        <f t="shared" si="8"/>
        <v>-40090451.263333321</v>
      </c>
      <c r="K38" s="272">
        <f>J38/I40</f>
        <v>-4.4299208295464684E-3</v>
      </c>
    </row>
    <row r="39" spans="1:13" ht="15.95" customHeight="1" thickBot="1" x14ac:dyDescent="0.25">
      <c r="A39" s="340" t="s">
        <v>18</v>
      </c>
      <c r="B39" s="463">
        <f>8212005.19+392405184.3+B38</f>
        <v>2243851139.6099997</v>
      </c>
      <c r="C39" s="338">
        <f>C28*12</f>
        <v>2160844000</v>
      </c>
      <c r="D39" s="464">
        <f t="shared" si="6"/>
        <v>83007139.609999657</v>
      </c>
      <c r="E39" s="465">
        <f>365913959.08+38901609.47+E38</f>
        <v>5098668513.0900002</v>
      </c>
      <c r="F39" s="338">
        <f>F28*12</f>
        <v>5058098000</v>
      </c>
      <c r="G39" s="411">
        <f t="shared" si="7"/>
        <v>40570513.090000153</v>
      </c>
      <c r="H39" s="275">
        <f t="shared" si="5"/>
        <v>9293175115</v>
      </c>
      <c r="I39" s="338">
        <f>I28*12</f>
        <v>9049925000</v>
      </c>
      <c r="J39" s="411">
        <f t="shared" si="8"/>
        <v>243250115</v>
      </c>
      <c r="K39" s="466">
        <f>J39/I40</f>
        <v>2.6878688497418486E-2</v>
      </c>
    </row>
    <row r="40" spans="1:13" ht="15.95" customHeight="1" thickBot="1" x14ac:dyDescent="0.25">
      <c r="A40" s="257" t="s">
        <v>19</v>
      </c>
      <c r="B40" s="345">
        <f>B39</f>
        <v>2243851139.6099997</v>
      </c>
      <c r="C40" s="258">
        <f>2010844000+150000000</f>
        <v>2160844000</v>
      </c>
      <c r="D40" s="278"/>
      <c r="E40" s="345">
        <f>E39</f>
        <v>5098668513.0900002</v>
      </c>
      <c r="F40" s="258">
        <f>4388098000+670000000</f>
        <v>5058098000</v>
      </c>
      <c r="G40" s="278"/>
      <c r="H40" s="351">
        <f t="shared" si="5"/>
        <v>9293175115</v>
      </c>
      <c r="I40" s="279">
        <f>C20+F20+I20+L20+C40+F40</f>
        <v>9049925000</v>
      </c>
      <c r="J40" s="280"/>
      <c r="K40" s="350"/>
    </row>
    <row r="41" spans="1:13" x14ac:dyDescent="0.2">
      <c r="A41" s="659" t="s">
        <v>153</v>
      </c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42:M42"/>
    <mergeCell ref="E26:E27"/>
    <mergeCell ref="F26:F27"/>
    <mergeCell ref="G26:G27"/>
    <mergeCell ref="H26:H27"/>
    <mergeCell ref="I26:I27"/>
    <mergeCell ref="J26:J2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  <ignoredErrors>
    <ignoredError sqref="H14 B3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5">
    <tabColor theme="5" tint="-0.499984740745262"/>
    <pageSetUpPr fitToPage="1"/>
  </sheetPr>
  <dimension ref="A1:M48"/>
  <sheetViews>
    <sheetView showGridLines="0" zoomScaleNormal="100" workbookViewId="0">
      <pane xSplit="1" ySplit="2" topLeftCell="B3" activePane="bottomRight" state="frozen"/>
      <selection sqref="A1:S1"/>
      <selection pane="topRight" sqref="A1:S1"/>
      <selection pane="bottomLeft" sqref="A1:S1"/>
      <selection pane="bottomRight" sqref="A1:S1"/>
    </sheetView>
  </sheetViews>
  <sheetFormatPr defaultRowHeight="12.75" x14ac:dyDescent="0.2"/>
  <cols>
    <col min="1" max="1" width="8.7109375" style="1" customWidth="1"/>
    <col min="2" max="13" width="12.5703125" style="1" customWidth="1"/>
    <col min="14" max="14" width="9.7109375" style="1" customWidth="1"/>
    <col min="15" max="15" width="12.42578125" style="1" customWidth="1"/>
    <col min="16" max="17" width="9.7109375" style="1" customWidth="1"/>
    <col min="18" max="18" width="11" style="1" customWidth="1"/>
    <col min="19" max="255" width="9.140625" style="1"/>
    <col min="256" max="256" width="8.7109375" style="1" customWidth="1"/>
    <col min="257" max="257" width="13.5703125" style="1" bestFit="1" customWidth="1"/>
    <col min="258" max="259" width="12.140625" style="1" customWidth="1"/>
    <col min="260" max="260" width="13.140625" style="1" bestFit="1" customWidth="1"/>
    <col min="261" max="262" width="12.140625" style="1" customWidth="1"/>
    <col min="263" max="263" width="13.140625" style="1" bestFit="1" customWidth="1"/>
    <col min="264" max="265" width="12.140625" style="1" customWidth="1"/>
    <col min="266" max="266" width="13.140625" style="1" bestFit="1" customWidth="1"/>
    <col min="267" max="268" width="12.140625" style="1" customWidth="1"/>
    <col min="269" max="269" width="10.85546875" style="1" customWidth="1"/>
    <col min="270" max="270" width="9.7109375" style="1" customWidth="1"/>
    <col min="271" max="271" width="12.42578125" style="1" customWidth="1"/>
    <col min="272" max="273" width="9.7109375" style="1" customWidth="1"/>
    <col min="274" max="274" width="11" style="1" customWidth="1"/>
    <col min="275" max="511" width="9.140625" style="1"/>
    <col min="512" max="512" width="8.7109375" style="1" customWidth="1"/>
    <col min="513" max="513" width="13.5703125" style="1" bestFit="1" customWidth="1"/>
    <col min="514" max="515" width="12.140625" style="1" customWidth="1"/>
    <col min="516" max="516" width="13.140625" style="1" bestFit="1" customWidth="1"/>
    <col min="517" max="518" width="12.140625" style="1" customWidth="1"/>
    <col min="519" max="519" width="13.140625" style="1" bestFit="1" customWidth="1"/>
    <col min="520" max="521" width="12.140625" style="1" customWidth="1"/>
    <col min="522" max="522" width="13.140625" style="1" bestFit="1" customWidth="1"/>
    <col min="523" max="524" width="12.140625" style="1" customWidth="1"/>
    <col min="525" max="525" width="10.85546875" style="1" customWidth="1"/>
    <col min="526" max="526" width="9.7109375" style="1" customWidth="1"/>
    <col min="527" max="527" width="12.42578125" style="1" customWidth="1"/>
    <col min="528" max="529" width="9.7109375" style="1" customWidth="1"/>
    <col min="530" max="530" width="11" style="1" customWidth="1"/>
    <col min="531" max="767" width="9.140625" style="1"/>
    <col min="768" max="768" width="8.7109375" style="1" customWidth="1"/>
    <col min="769" max="769" width="13.5703125" style="1" bestFit="1" customWidth="1"/>
    <col min="770" max="771" width="12.140625" style="1" customWidth="1"/>
    <col min="772" max="772" width="13.140625" style="1" bestFit="1" customWidth="1"/>
    <col min="773" max="774" width="12.140625" style="1" customWidth="1"/>
    <col min="775" max="775" width="13.140625" style="1" bestFit="1" customWidth="1"/>
    <col min="776" max="777" width="12.140625" style="1" customWidth="1"/>
    <col min="778" max="778" width="13.140625" style="1" bestFit="1" customWidth="1"/>
    <col min="779" max="780" width="12.140625" style="1" customWidth="1"/>
    <col min="781" max="781" width="10.85546875" style="1" customWidth="1"/>
    <col min="782" max="782" width="9.7109375" style="1" customWidth="1"/>
    <col min="783" max="783" width="12.42578125" style="1" customWidth="1"/>
    <col min="784" max="785" width="9.7109375" style="1" customWidth="1"/>
    <col min="786" max="786" width="11" style="1" customWidth="1"/>
    <col min="787" max="1023" width="9.140625" style="1"/>
    <col min="1024" max="1024" width="8.7109375" style="1" customWidth="1"/>
    <col min="1025" max="1025" width="13.5703125" style="1" bestFit="1" customWidth="1"/>
    <col min="1026" max="1027" width="12.140625" style="1" customWidth="1"/>
    <col min="1028" max="1028" width="13.140625" style="1" bestFit="1" customWidth="1"/>
    <col min="1029" max="1030" width="12.140625" style="1" customWidth="1"/>
    <col min="1031" max="1031" width="13.140625" style="1" bestFit="1" customWidth="1"/>
    <col min="1032" max="1033" width="12.140625" style="1" customWidth="1"/>
    <col min="1034" max="1034" width="13.140625" style="1" bestFit="1" customWidth="1"/>
    <col min="1035" max="1036" width="12.140625" style="1" customWidth="1"/>
    <col min="1037" max="1037" width="10.85546875" style="1" customWidth="1"/>
    <col min="1038" max="1038" width="9.7109375" style="1" customWidth="1"/>
    <col min="1039" max="1039" width="12.42578125" style="1" customWidth="1"/>
    <col min="1040" max="1041" width="9.7109375" style="1" customWidth="1"/>
    <col min="1042" max="1042" width="11" style="1" customWidth="1"/>
    <col min="1043" max="1279" width="9.140625" style="1"/>
    <col min="1280" max="1280" width="8.7109375" style="1" customWidth="1"/>
    <col min="1281" max="1281" width="13.5703125" style="1" bestFit="1" customWidth="1"/>
    <col min="1282" max="1283" width="12.140625" style="1" customWidth="1"/>
    <col min="1284" max="1284" width="13.140625" style="1" bestFit="1" customWidth="1"/>
    <col min="1285" max="1286" width="12.140625" style="1" customWidth="1"/>
    <col min="1287" max="1287" width="13.140625" style="1" bestFit="1" customWidth="1"/>
    <col min="1288" max="1289" width="12.140625" style="1" customWidth="1"/>
    <col min="1290" max="1290" width="13.140625" style="1" bestFit="1" customWidth="1"/>
    <col min="1291" max="1292" width="12.140625" style="1" customWidth="1"/>
    <col min="1293" max="1293" width="10.85546875" style="1" customWidth="1"/>
    <col min="1294" max="1294" width="9.7109375" style="1" customWidth="1"/>
    <col min="1295" max="1295" width="12.42578125" style="1" customWidth="1"/>
    <col min="1296" max="1297" width="9.7109375" style="1" customWidth="1"/>
    <col min="1298" max="1298" width="11" style="1" customWidth="1"/>
    <col min="1299" max="1535" width="9.140625" style="1"/>
    <col min="1536" max="1536" width="8.7109375" style="1" customWidth="1"/>
    <col min="1537" max="1537" width="13.5703125" style="1" bestFit="1" customWidth="1"/>
    <col min="1538" max="1539" width="12.140625" style="1" customWidth="1"/>
    <col min="1540" max="1540" width="13.140625" style="1" bestFit="1" customWidth="1"/>
    <col min="1541" max="1542" width="12.140625" style="1" customWidth="1"/>
    <col min="1543" max="1543" width="13.140625" style="1" bestFit="1" customWidth="1"/>
    <col min="1544" max="1545" width="12.140625" style="1" customWidth="1"/>
    <col min="1546" max="1546" width="13.140625" style="1" bestFit="1" customWidth="1"/>
    <col min="1547" max="1548" width="12.140625" style="1" customWidth="1"/>
    <col min="1549" max="1549" width="10.85546875" style="1" customWidth="1"/>
    <col min="1550" max="1550" width="9.7109375" style="1" customWidth="1"/>
    <col min="1551" max="1551" width="12.42578125" style="1" customWidth="1"/>
    <col min="1552" max="1553" width="9.7109375" style="1" customWidth="1"/>
    <col min="1554" max="1554" width="11" style="1" customWidth="1"/>
    <col min="1555" max="1791" width="9.140625" style="1"/>
    <col min="1792" max="1792" width="8.7109375" style="1" customWidth="1"/>
    <col min="1793" max="1793" width="13.5703125" style="1" bestFit="1" customWidth="1"/>
    <col min="1794" max="1795" width="12.140625" style="1" customWidth="1"/>
    <col min="1796" max="1796" width="13.140625" style="1" bestFit="1" customWidth="1"/>
    <col min="1797" max="1798" width="12.140625" style="1" customWidth="1"/>
    <col min="1799" max="1799" width="13.140625" style="1" bestFit="1" customWidth="1"/>
    <col min="1800" max="1801" width="12.140625" style="1" customWidth="1"/>
    <col min="1802" max="1802" width="13.140625" style="1" bestFit="1" customWidth="1"/>
    <col min="1803" max="1804" width="12.140625" style="1" customWidth="1"/>
    <col min="1805" max="1805" width="10.85546875" style="1" customWidth="1"/>
    <col min="1806" max="1806" width="9.7109375" style="1" customWidth="1"/>
    <col min="1807" max="1807" width="12.42578125" style="1" customWidth="1"/>
    <col min="1808" max="1809" width="9.7109375" style="1" customWidth="1"/>
    <col min="1810" max="1810" width="11" style="1" customWidth="1"/>
    <col min="1811" max="2047" width="9.140625" style="1"/>
    <col min="2048" max="2048" width="8.7109375" style="1" customWidth="1"/>
    <col min="2049" max="2049" width="13.5703125" style="1" bestFit="1" customWidth="1"/>
    <col min="2050" max="2051" width="12.140625" style="1" customWidth="1"/>
    <col min="2052" max="2052" width="13.140625" style="1" bestFit="1" customWidth="1"/>
    <col min="2053" max="2054" width="12.140625" style="1" customWidth="1"/>
    <col min="2055" max="2055" width="13.140625" style="1" bestFit="1" customWidth="1"/>
    <col min="2056" max="2057" width="12.140625" style="1" customWidth="1"/>
    <col min="2058" max="2058" width="13.140625" style="1" bestFit="1" customWidth="1"/>
    <col min="2059" max="2060" width="12.140625" style="1" customWidth="1"/>
    <col min="2061" max="2061" width="10.85546875" style="1" customWidth="1"/>
    <col min="2062" max="2062" width="9.7109375" style="1" customWidth="1"/>
    <col min="2063" max="2063" width="12.42578125" style="1" customWidth="1"/>
    <col min="2064" max="2065" width="9.7109375" style="1" customWidth="1"/>
    <col min="2066" max="2066" width="11" style="1" customWidth="1"/>
    <col min="2067" max="2303" width="9.140625" style="1"/>
    <col min="2304" max="2304" width="8.7109375" style="1" customWidth="1"/>
    <col min="2305" max="2305" width="13.5703125" style="1" bestFit="1" customWidth="1"/>
    <col min="2306" max="2307" width="12.140625" style="1" customWidth="1"/>
    <col min="2308" max="2308" width="13.140625" style="1" bestFit="1" customWidth="1"/>
    <col min="2309" max="2310" width="12.140625" style="1" customWidth="1"/>
    <col min="2311" max="2311" width="13.140625" style="1" bestFit="1" customWidth="1"/>
    <col min="2312" max="2313" width="12.140625" style="1" customWidth="1"/>
    <col min="2314" max="2314" width="13.140625" style="1" bestFit="1" customWidth="1"/>
    <col min="2315" max="2316" width="12.140625" style="1" customWidth="1"/>
    <col min="2317" max="2317" width="10.85546875" style="1" customWidth="1"/>
    <col min="2318" max="2318" width="9.7109375" style="1" customWidth="1"/>
    <col min="2319" max="2319" width="12.42578125" style="1" customWidth="1"/>
    <col min="2320" max="2321" width="9.7109375" style="1" customWidth="1"/>
    <col min="2322" max="2322" width="11" style="1" customWidth="1"/>
    <col min="2323" max="2559" width="9.140625" style="1"/>
    <col min="2560" max="2560" width="8.7109375" style="1" customWidth="1"/>
    <col min="2561" max="2561" width="13.5703125" style="1" bestFit="1" customWidth="1"/>
    <col min="2562" max="2563" width="12.140625" style="1" customWidth="1"/>
    <col min="2564" max="2564" width="13.140625" style="1" bestFit="1" customWidth="1"/>
    <col min="2565" max="2566" width="12.140625" style="1" customWidth="1"/>
    <col min="2567" max="2567" width="13.140625" style="1" bestFit="1" customWidth="1"/>
    <col min="2568" max="2569" width="12.140625" style="1" customWidth="1"/>
    <col min="2570" max="2570" width="13.140625" style="1" bestFit="1" customWidth="1"/>
    <col min="2571" max="2572" width="12.140625" style="1" customWidth="1"/>
    <col min="2573" max="2573" width="10.85546875" style="1" customWidth="1"/>
    <col min="2574" max="2574" width="9.7109375" style="1" customWidth="1"/>
    <col min="2575" max="2575" width="12.42578125" style="1" customWidth="1"/>
    <col min="2576" max="2577" width="9.7109375" style="1" customWidth="1"/>
    <col min="2578" max="2578" width="11" style="1" customWidth="1"/>
    <col min="2579" max="2815" width="9.140625" style="1"/>
    <col min="2816" max="2816" width="8.7109375" style="1" customWidth="1"/>
    <col min="2817" max="2817" width="13.5703125" style="1" bestFit="1" customWidth="1"/>
    <col min="2818" max="2819" width="12.140625" style="1" customWidth="1"/>
    <col min="2820" max="2820" width="13.140625" style="1" bestFit="1" customWidth="1"/>
    <col min="2821" max="2822" width="12.140625" style="1" customWidth="1"/>
    <col min="2823" max="2823" width="13.140625" style="1" bestFit="1" customWidth="1"/>
    <col min="2824" max="2825" width="12.140625" style="1" customWidth="1"/>
    <col min="2826" max="2826" width="13.140625" style="1" bestFit="1" customWidth="1"/>
    <col min="2827" max="2828" width="12.140625" style="1" customWidth="1"/>
    <col min="2829" max="2829" width="10.85546875" style="1" customWidth="1"/>
    <col min="2830" max="2830" width="9.7109375" style="1" customWidth="1"/>
    <col min="2831" max="2831" width="12.42578125" style="1" customWidth="1"/>
    <col min="2832" max="2833" width="9.7109375" style="1" customWidth="1"/>
    <col min="2834" max="2834" width="11" style="1" customWidth="1"/>
    <col min="2835" max="3071" width="9.140625" style="1"/>
    <col min="3072" max="3072" width="8.7109375" style="1" customWidth="1"/>
    <col min="3073" max="3073" width="13.5703125" style="1" bestFit="1" customWidth="1"/>
    <col min="3074" max="3075" width="12.140625" style="1" customWidth="1"/>
    <col min="3076" max="3076" width="13.140625" style="1" bestFit="1" customWidth="1"/>
    <col min="3077" max="3078" width="12.140625" style="1" customWidth="1"/>
    <col min="3079" max="3079" width="13.140625" style="1" bestFit="1" customWidth="1"/>
    <col min="3080" max="3081" width="12.140625" style="1" customWidth="1"/>
    <col min="3082" max="3082" width="13.140625" style="1" bestFit="1" customWidth="1"/>
    <col min="3083" max="3084" width="12.140625" style="1" customWidth="1"/>
    <col min="3085" max="3085" width="10.85546875" style="1" customWidth="1"/>
    <col min="3086" max="3086" width="9.7109375" style="1" customWidth="1"/>
    <col min="3087" max="3087" width="12.42578125" style="1" customWidth="1"/>
    <col min="3088" max="3089" width="9.7109375" style="1" customWidth="1"/>
    <col min="3090" max="3090" width="11" style="1" customWidth="1"/>
    <col min="3091" max="3327" width="9.140625" style="1"/>
    <col min="3328" max="3328" width="8.7109375" style="1" customWidth="1"/>
    <col min="3329" max="3329" width="13.5703125" style="1" bestFit="1" customWidth="1"/>
    <col min="3330" max="3331" width="12.140625" style="1" customWidth="1"/>
    <col min="3332" max="3332" width="13.140625" style="1" bestFit="1" customWidth="1"/>
    <col min="3333" max="3334" width="12.140625" style="1" customWidth="1"/>
    <col min="3335" max="3335" width="13.140625" style="1" bestFit="1" customWidth="1"/>
    <col min="3336" max="3337" width="12.140625" style="1" customWidth="1"/>
    <col min="3338" max="3338" width="13.140625" style="1" bestFit="1" customWidth="1"/>
    <col min="3339" max="3340" width="12.140625" style="1" customWidth="1"/>
    <col min="3341" max="3341" width="10.85546875" style="1" customWidth="1"/>
    <col min="3342" max="3342" width="9.7109375" style="1" customWidth="1"/>
    <col min="3343" max="3343" width="12.42578125" style="1" customWidth="1"/>
    <col min="3344" max="3345" width="9.7109375" style="1" customWidth="1"/>
    <col min="3346" max="3346" width="11" style="1" customWidth="1"/>
    <col min="3347" max="3583" width="9.140625" style="1"/>
    <col min="3584" max="3584" width="8.7109375" style="1" customWidth="1"/>
    <col min="3585" max="3585" width="13.5703125" style="1" bestFit="1" customWidth="1"/>
    <col min="3586" max="3587" width="12.140625" style="1" customWidth="1"/>
    <col min="3588" max="3588" width="13.140625" style="1" bestFit="1" customWidth="1"/>
    <col min="3589" max="3590" width="12.140625" style="1" customWidth="1"/>
    <col min="3591" max="3591" width="13.140625" style="1" bestFit="1" customWidth="1"/>
    <col min="3592" max="3593" width="12.140625" style="1" customWidth="1"/>
    <col min="3594" max="3594" width="13.140625" style="1" bestFit="1" customWidth="1"/>
    <col min="3595" max="3596" width="12.140625" style="1" customWidth="1"/>
    <col min="3597" max="3597" width="10.85546875" style="1" customWidth="1"/>
    <col min="3598" max="3598" width="9.7109375" style="1" customWidth="1"/>
    <col min="3599" max="3599" width="12.42578125" style="1" customWidth="1"/>
    <col min="3600" max="3601" width="9.7109375" style="1" customWidth="1"/>
    <col min="3602" max="3602" width="11" style="1" customWidth="1"/>
    <col min="3603" max="3839" width="9.140625" style="1"/>
    <col min="3840" max="3840" width="8.7109375" style="1" customWidth="1"/>
    <col min="3841" max="3841" width="13.5703125" style="1" bestFit="1" customWidth="1"/>
    <col min="3842" max="3843" width="12.140625" style="1" customWidth="1"/>
    <col min="3844" max="3844" width="13.140625" style="1" bestFit="1" customWidth="1"/>
    <col min="3845" max="3846" width="12.140625" style="1" customWidth="1"/>
    <col min="3847" max="3847" width="13.140625" style="1" bestFit="1" customWidth="1"/>
    <col min="3848" max="3849" width="12.140625" style="1" customWidth="1"/>
    <col min="3850" max="3850" width="13.140625" style="1" bestFit="1" customWidth="1"/>
    <col min="3851" max="3852" width="12.140625" style="1" customWidth="1"/>
    <col min="3853" max="3853" width="10.85546875" style="1" customWidth="1"/>
    <col min="3854" max="3854" width="9.7109375" style="1" customWidth="1"/>
    <col min="3855" max="3855" width="12.42578125" style="1" customWidth="1"/>
    <col min="3856" max="3857" width="9.7109375" style="1" customWidth="1"/>
    <col min="3858" max="3858" width="11" style="1" customWidth="1"/>
    <col min="3859" max="4095" width="9.140625" style="1"/>
    <col min="4096" max="4096" width="8.7109375" style="1" customWidth="1"/>
    <col min="4097" max="4097" width="13.5703125" style="1" bestFit="1" customWidth="1"/>
    <col min="4098" max="4099" width="12.140625" style="1" customWidth="1"/>
    <col min="4100" max="4100" width="13.140625" style="1" bestFit="1" customWidth="1"/>
    <col min="4101" max="4102" width="12.140625" style="1" customWidth="1"/>
    <col min="4103" max="4103" width="13.140625" style="1" bestFit="1" customWidth="1"/>
    <col min="4104" max="4105" width="12.140625" style="1" customWidth="1"/>
    <col min="4106" max="4106" width="13.140625" style="1" bestFit="1" customWidth="1"/>
    <col min="4107" max="4108" width="12.140625" style="1" customWidth="1"/>
    <col min="4109" max="4109" width="10.85546875" style="1" customWidth="1"/>
    <col min="4110" max="4110" width="9.7109375" style="1" customWidth="1"/>
    <col min="4111" max="4111" width="12.42578125" style="1" customWidth="1"/>
    <col min="4112" max="4113" width="9.7109375" style="1" customWidth="1"/>
    <col min="4114" max="4114" width="11" style="1" customWidth="1"/>
    <col min="4115" max="4351" width="9.140625" style="1"/>
    <col min="4352" max="4352" width="8.7109375" style="1" customWidth="1"/>
    <col min="4353" max="4353" width="13.5703125" style="1" bestFit="1" customWidth="1"/>
    <col min="4354" max="4355" width="12.140625" style="1" customWidth="1"/>
    <col min="4356" max="4356" width="13.140625" style="1" bestFit="1" customWidth="1"/>
    <col min="4357" max="4358" width="12.140625" style="1" customWidth="1"/>
    <col min="4359" max="4359" width="13.140625" style="1" bestFit="1" customWidth="1"/>
    <col min="4360" max="4361" width="12.140625" style="1" customWidth="1"/>
    <col min="4362" max="4362" width="13.140625" style="1" bestFit="1" customWidth="1"/>
    <col min="4363" max="4364" width="12.140625" style="1" customWidth="1"/>
    <col min="4365" max="4365" width="10.85546875" style="1" customWidth="1"/>
    <col min="4366" max="4366" width="9.7109375" style="1" customWidth="1"/>
    <col min="4367" max="4367" width="12.42578125" style="1" customWidth="1"/>
    <col min="4368" max="4369" width="9.7109375" style="1" customWidth="1"/>
    <col min="4370" max="4370" width="11" style="1" customWidth="1"/>
    <col min="4371" max="4607" width="9.140625" style="1"/>
    <col min="4608" max="4608" width="8.7109375" style="1" customWidth="1"/>
    <col min="4609" max="4609" width="13.5703125" style="1" bestFit="1" customWidth="1"/>
    <col min="4610" max="4611" width="12.140625" style="1" customWidth="1"/>
    <col min="4612" max="4612" width="13.140625" style="1" bestFit="1" customWidth="1"/>
    <col min="4613" max="4614" width="12.140625" style="1" customWidth="1"/>
    <col min="4615" max="4615" width="13.140625" style="1" bestFit="1" customWidth="1"/>
    <col min="4616" max="4617" width="12.140625" style="1" customWidth="1"/>
    <col min="4618" max="4618" width="13.140625" style="1" bestFit="1" customWidth="1"/>
    <col min="4619" max="4620" width="12.140625" style="1" customWidth="1"/>
    <col min="4621" max="4621" width="10.85546875" style="1" customWidth="1"/>
    <col min="4622" max="4622" width="9.7109375" style="1" customWidth="1"/>
    <col min="4623" max="4623" width="12.42578125" style="1" customWidth="1"/>
    <col min="4624" max="4625" width="9.7109375" style="1" customWidth="1"/>
    <col min="4626" max="4626" width="11" style="1" customWidth="1"/>
    <col min="4627" max="4863" width="9.140625" style="1"/>
    <col min="4864" max="4864" width="8.7109375" style="1" customWidth="1"/>
    <col min="4865" max="4865" width="13.5703125" style="1" bestFit="1" customWidth="1"/>
    <col min="4866" max="4867" width="12.140625" style="1" customWidth="1"/>
    <col min="4868" max="4868" width="13.140625" style="1" bestFit="1" customWidth="1"/>
    <col min="4869" max="4870" width="12.140625" style="1" customWidth="1"/>
    <col min="4871" max="4871" width="13.140625" style="1" bestFit="1" customWidth="1"/>
    <col min="4872" max="4873" width="12.140625" style="1" customWidth="1"/>
    <col min="4874" max="4874" width="13.140625" style="1" bestFit="1" customWidth="1"/>
    <col min="4875" max="4876" width="12.140625" style="1" customWidth="1"/>
    <col min="4877" max="4877" width="10.85546875" style="1" customWidth="1"/>
    <col min="4878" max="4878" width="9.7109375" style="1" customWidth="1"/>
    <col min="4879" max="4879" width="12.42578125" style="1" customWidth="1"/>
    <col min="4880" max="4881" width="9.7109375" style="1" customWidth="1"/>
    <col min="4882" max="4882" width="11" style="1" customWidth="1"/>
    <col min="4883" max="5119" width="9.140625" style="1"/>
    <col min="5120" max="5120" width="8.7109375" style="1" customWidth="1"/>
    <col min="5121" max="5121" width="13.5703125" style="1" bestFit="1" customWidth="1"/>
    <col min="5122" max="5123" width="12.140625" style="1" customWidth="1"/>
    <col min="5124" max="5124" width="13.140625" style="1" bestFit="1" customWidth="1"/>
    <col min="5125" max="5126" width="12.140625" style="1" customWidth="1"/>
    <col min="5127" max="5127" width="13.140625" style="1" bestFit="1" customWidth="1"/>
    <col min="5128" max="5129" width="12.140625" style="1" customWidth="1"/>
    <col min="5130" max="5130" width="13.140625" style="1" bestFit="1" customWidth="1"/>
    <col min="5131" max="5132" width="12.140625" style="1" customWidth="1"/>
    <col min="5133" max="5133" width="10.85546875" style="1" customWidth="1"/>
    <col min="5134" max="5134" width="9.7109375" style="1" customWidth="1"/>
    <col min="5135" max="5135" width="12.42578125" style="1" customWidth="1"/>
    <col min="5136" max="5137" width="9.7109375" style="1" customWidth="1"/>
    <col min="5138" max="5138" width="11" style="1" customWidth="1"/>
    <col min="5139" max="5375" width="9.140625" style="1"/>
    <col min="5376" max="5376" width="8.7109375" style="1" customWidth="1"/>
    <col min="5377" max="5377" width="13.5703125" style="1" bestFit="1" customWidth="1"/>
    <col min="5378" max="5379" width="12.140625" style="1" customWidth="1"/>
    <col min="5380" max="5380" width="13.140625" style="1" bestFit="1" customWidth="1"/>
    <col min="5381" max="5382" width="12.140625" style="1" customWidth="1"/>
    <col min="5383" max="5383" width="13.140625" style="1" bestFit="1" customWidth="1"/>
    <col min="5384" max="5385" width="12.140625" style="1" customWidth="1"/>
    <col min="5386" max="5386" width="13.140625" style="1" bestFit="1" customWidth="1"/>
    <col min="5387" max="5388" width="12.140625" style="1" customWidth="1"/>
    <col min="5389" max="5389" width="10.85546875" style="1" customWidth="1"/>
    <col min="5390" max="5390" width="9.7109375" style="1" customWidth="1"/>
    <col min="5391" max="5391" width="12.42578125" style="1" customWidth="1"/>
    <col min="5392" max="5393" width="9.7109375" style="1" customWidth="1"/>
    <col min="5394" max="5394" width="11" style="1" customWidth="1"/>
    <col min="5395" max="5631" width="9.140625" style="1"/>
    <col min="5632" max="5632" width="8.7109375" style="1" customWidth="1"/>
    <col min="5633" max="5633" width="13.5703125" style="1" bestFit="1" customWidth="1"/>
    <col min="5634" max="5635" width="12.140625" style="1" customWidth="1"/>
    <col min="5636" max="5636" width="13.140625" style="1" bestFit="1" customWidth="1"/>
    <col min="5637" max="5638" width="12.140625" style="1" customWidth="1"/>
    <col min="5639" max="5639" width="13.140625" style="1" bestFit="1" customWidth="1"/>
    <col min="5640" max="5641" width="12.140625" style="1" customWidth="1"/>
    <col min="5642" max="5642" width="13.140625" style="1" bestFit="1" customWidth="1"/>
    <col min="5643" max="5644" width="12.140625" style="1" customWidth="1"/>
    <col min="5645" max="5645" width="10.85546875" style="1" customWidth="1"/>
    <col min="5646" max="5646" width="9.7109375" style="1" customWidth="1"/>
    <col min="5647" max="5647" width="12.42578125" style="1" customWidth="1"/>
    <col min="5648" max="5649" width="9.7109375" style="1" customWidth="1"/>
    <col min="5650" max="5650" width="11" style="1" customWidth="1"/>
    <col min="5651" max="5887" width="9.140625" style="1"/>
    <col min="5888" max="5888" width="8.7109375" style="1" customWidth="1"/>
    <col min="5889" max="5889" width="13.5703125" style="1" bestFit="1" customWidth="1"/>
    <col min="5890" max="5891" width="12.140625" style="1" customWidth="1"/>
    <col min="5892" max="5892" width="13.140625" style="1" bestFit="1" customWidth="1"/>
    <col min="5893" max="5894" width="12.140625" style="1" customWidth="1"/>
    <col min="5895" max="5895" width="13.140625" style="1" bestFit="1" customWidth="1"/>
    <col min="5896" max="5897" width="12.140625" style="1" customWidth="1"/>
    <col min="5898" max="5898" width="13.140625" style="1" bestFit="1" customWidth="1"/>
    <col min="5899" max="5900" width="12.140625" style="1" customWidth="1"/>
    <col min="5901" max="5901" width="10.85546875" style="1" customWidth="1"/>
    <col min="5902" max="5902" width="9.7109375" style="1" customWidth="1"/>
    <col min="5903" max="5903" width="12.42578125" style="1" customWidth="1"/>
    <col min="5904" max="5905" width="9.7109375" style="1" customWidth="1"/>
    <col min="5906" max="5906" width="11" style="1" customWidth="1"/>
    <col min="5907" max="6143" width="9.140625" style="1"/>
    <col min="6144" max="6144" width="8.7109375" style="1" customWidth="1"/>
    <col min="6145" max="6145" width="13.5703125" style="1" bestFit="1" customWidth="1"/>
    <col min="6146" max="6147" width="12.140625" style="1" customWidth="1"/>
    <col min="6148" max="6148" width="13.140625" style="1" bestFit="1" customWidth="1"/>
    <col min="6149" max="6150" width="12.140625" style="1" customWidth="1"/>
    <col min="6151" max="6151" width="13.140625" style="1" bestFit="1" customWidth="1"/>
    <col min="6152" max="6153" width="12.140625" style="1" customWidth="1"/>
    <col min="6154" max="6154" width="13.140625" style="1" bestFit="1" customWidth="1"/>
    <col min="6155" max="6156" width="12.140625" style="1" customWidth="1"/>
    <col min="6157" max="6157" width="10.85546875" style="1" customWidth="1"/>
    <col min="6158" max="6158" width="9.7109375" style="1" customWidth="1"/>
    <col min="6159" max="6159" width="12.42578125" style="1" customWidth="1"/>
    <col min="6160" max="6161" width="9.7109375" style="1" customWidth="1"/>
    <col min="6162" max="6162" width="11" style="1" customWidth="1"/>
    <col min="6163" max="6399" width="9.140625" style="1"/>
    <col min="6400" max="6400" width="8.7109375" style="1" customWidth="1"/>
    <col min="6401" max="6401" width="13.5703125" style="1" bestFit="1" customWidth="1"/>
    <col min="6402" max="6403" width="12.140625" style="1" customWidth="1"/>
    <col min="6404" max="6404" width="13.140625" style="1" bestFit="1" customWidth="1"/>
    <col min="6405" max="6406" width="12.140625" style="1" customWidth="1"/>
    <col min="6407" max="6407" width="13.140625" style="1" bestFit="1" customWidth="1"/>
    <col min="6408" max="6409" width="12.140625" style="1" customWidth="1"/>
    <col min="6410" max="6410" width="13.140625" style="1" bestFit="1" customWidth="1"/>
    <col min="6411" max="6412" width="12.140625" style="1" customWidth="1"/>
    <col min="6413" max="6413" width="10.85546875" style="1" customWidth="1"/>
    <col min="6414" max="6414" width="9.7109375" style="1" customWidth="1"/>
    <col min="6415" max="6415" width="12.42578125" style="1" customWidth="1"/>
    <col min="6416" max="6417" width="9.7109375" style="1" customWidth="1"/>
    <col min="6418" max="6418" width="11" style="1" customWidth="1"/>
    <col min="6419" max="6655" width="9.140625" style="1"/>
    <col min="6656" max="6656" width="8.7109375" style="1" customWidth="1"/>
    <col min="6657" max="6657" width="13.5703125" style="1" bestFit="1" customWidth="1"/>
    <col min="6658" max="6659" width="12.140625" style="1" customWidth="1"/>
    <col min="6660" max="6660" width="13.140625" style="1" bestFit="1" customWidth="1"/>
    <col min="6661" max="6662" width="12.140625" style="1" customWidth="1"/>
    <col min="6663" max="6663" width="13.140625" style="1" bestFit="1" customWidth="1"/>
    <col min="6664" max="6665" width="12.140625" style="1" customWidth="1"/>
    <col min="6666" max="6666" width="13.140625" style="1" bestFit="1" customWidth="1"/>
    <col min="6667" max="6668" width="12.140625" style="1" customWidth="1"/>
    <col min="6669" max="6669" width="10.85546875" style="1" customWidth="1"/>
    <col min="6670" max="6670" width="9.7109375" style="1" customWidth="1"/>
    <col min="6671" max="6671" width="12.42578125" style="1" customWidth="1"/>
    <col min="6672" max="6673" width="9.7109375" style="1" customWidth="1"/>
    <col min="6674" max="6674" width="11" style="1" customWidth="1"/>
    <col min="6675" max="6911" width="9.140625" style="1"/>
    <col min="6912" max="6912" width="8.7109375" style="1" customWidth="1"/>
    <col min="6913" max="6913" width="13.5703125" style="1" bestFit="1" customWidth="1"/>
    <col min="6914" max="6915" width="12.140625" style="1" customWidth="1"/>
    <col min="6916" max="6916" width="13.140625" style="1" bestFit="1" customWidth="1"/>
    <col min="6917" max="6918" width="12.140625" style="1" customWidth="1"/>
    <col min="6919" max="6919" width="13.140625" style="1" bestFit="1" customWidth="1"/>
    <col min="6920" max="6921" width="12.140625" style="1" customWidth="1"/>
    <col min="6922" max="6922" width="13.140625" style="1" bestFit="1" customWidth="1"/>
    <col min="6923" max="6924" width="12.140625" style="1" customWidth="1"/>
    <col min="6925" max="6925" width="10.85546875" style="1" customWidth="1"/>
    <col min="6926" max="6926" width="9.7109375" style="1" customWidth="1"/>
    <col min="6927" max="6927" width="12.42578125" style="1" customWidth="1"/>
    <col min="6928" max="6929" width="9.7109375" style="1" customWidth="1"/>
    <col min="6930" max="6930" width="11" style="1" customWidth="1"/>
    <col min="6931" max="7167" width="9.140625" style="1"/>
    <col min="7168" max="7168" width="8.7109375" style="1" customWidth="1"/>
    <col min="7169" max="7169" width="13.5703125" style="1" bestFit="1" customWidth="1"/>
    <col min="7170" max="7171" width="12.140625" style="1" customWidth="1"/>
    <col min="7172" max="7172" width="13.140625" style="1" bestFit="1" customWidth="1"/>
    <col min="7173" max="7174" width="12.140625" style="1" customWidth="1"/>
    <col min="7175" max="7175" width="13.140625" style="1" bestFit="1" customWidth="1"/>
    <col min="7176" max="7177" width="12.140625" style="1" customWidth="1"/>
    <col min="7178" max="7178" width="13.140625" style="1" bestFit="1" customWidth="1"/>
    <col min="7179" max="7180" width="12.140625" style="1" customWidth="1"/>
    <col min="7181" max="7181" width="10.85546875" style="1" customWidth="1"/>
    <col min="7182" max="7182" width="9.7109375" style="1" customWidth="1"/>
    <col min="7183" max="7183" width="12.42578125" style="1" customWidth="1"/>
    <col min="7184" max="7185" width="9.7109375" style="1" customWidth="1"/>
    <col min="7186" max="7186" width="11" style="1" customWidth="1"/>
    <col min="7187" max="7423" width="9.140625" style="1"/>
    <col min="7424" max="7424" width="8.7109375" style="1" customWidth="1"/>
    <col min="7425" max="7425" width="13.5703125" style="1" bestFit="1" customWidth="1"/>
    <col min="7426" max="7427" width="12.140625" style="1" customWidth="1"/>
    <col min="7428" max="7428" width="13.140625" style="1" bestFit="1" customWidth="1"/>
    <col min="7429" max="7430" width="12.140625" style="1" customWidth="1"/>
    <col min="7431" max="7431" width="13.140625" style="1" bestFit="1" customWidth="1"/>
    <col min="7432" max="7433" width="12.140625" style="1" customWidth="1"/>
    <col min="7434" max="7434" width="13.140625" style="1" bestFit="1" customWidth="1"/>
    <col min="7435" max="7436" width="12.140625" style="1" customWidth="1"/>
    <col min="7437" max="7437" width="10.85546875" style="1" customWidth="1"/>
    <col min="7438" max="7438" width="9.7109375" style="1" customWidth="1"/>
    <col min="7439" max="7439" width="12.42578125" style="1" customWidth="1"/>
    <col min="7440" max="7441" width="9.7109375" style="1" customWidth="1"/>
    <col min="7442" max="7442" width="11" style="1" customWidth="1"/>
    <col min="7443" max="7679" width="9.140625" style="1"/>
    <col min="7680" max="7680" width="8.7109375" style="1" customWidth="1"/>
    <col min="7681" max="7681" width="13.5703125" style="1" bestFit="1" customWidth="1"/>
    <col min="7682" max="7683" width="12.140625" style="1" customWidth="1"/>
    <col min="7684" max="7684" width="13.140625" style="1" bestFit="1" customWidth="1"/>
    <col min="7685" max="7686" width="12.140625" style="1" customWidth="1"/>
    <col min="7687" max="7687" width="13.140625" style="1" bestFit="1" customWidth="1"/>
    <col min="7688" max="7689" width="12.140625" style="1" customWidth="1"/>
    <col min="7690" max="7690" width="13.140625" style="1" bestFit="1" customWidth="1"/>
    <col min="7691" max="7692" width="12.140625" style="1" customWidth="1"/>
    <col min="7693" max="7693" width="10.85546875" style="1" customWidth="1"/>
    <col min="7694" max="7694" width="9.7109375" style="1" customWidth="1"/>
    <col min="7695" max="7695" width="12.42578125" style="1" customWidth="1"/>
    <col min="7696" max="7697" width="9.7109375" style="1" customWidth="1"/>
    <col min="7698" max="7698" width="11" style="1" customWidth="1"/>
    <col min="7699" max="7935" width="9.140625" style="1"/>
    <col min="7936" max="7936" width="8.7109375" style="1" customWidth="1"/>
    <col min="7937" max="7937" width="13.5703125" style="1" bestFit="1" customWidth="1"/>
    <col min="7938" max="7939" width="12.140625" style="1" customWidth="1"/>
    <col min="7940" max="7940" width="13.140625" style="1" bestFit="1" customWidth="1"/>
    <col min="7941" max="7942" width="12.140625" style="1" customWidth="1"/>
    <col min="7943" max="7943" width="13.140625" style="1" bestFit="1" customWidth="1"/>
    <col min="7944" max="7945" width="12.140625" style="1" customWidth="1"/>
    <col min="7946" max="7946" width="13.140625" style="1" bestFit="1" customWidth="1"/>
    <col min="7947" max="7948" width="12.140625" style="1" customWidth="1"/>
    <col min="7949" max="7949" width="10.85546875" style="1" customWidth="1"/>
    <col min="7950" max="7950" width="9.7109375" style="1" customWidth="1"/>
    <col min="7951" max="7951" width="12.42578125" style="1" customWidth="1"/>
    <col min="7952" max="7953" width="9.7109375" style="1" customWidth="1"/>
    <col min="7954" max="7954" width="11" style="1" customWidth="1"/>
    <col min="7955" max="8191" width="9.140625" style="1"/>
    <col min="8192" max="8192" width="8.7109375" style="1" customWidth="1"/>
    <col min="8193" max="8193" width="13.5703125" style="1" bestFit="1" customWidth="1"/>
    <col min="8194" max="8195" width="12.140625" style="1" customWidth="1"/>
    <col min="8196" max="8196" width="13.140625" style="1" bestFit="1" customWidth="1"/>
    <col min="8197" max="8198" width="12.140625" style="1" customWidth="1"/>
    <col min="8199" max="8199" width="13.140625" style="1" bestFit="1" customWidth="1"/>
    <col min="8200" max="8201" width="12.140625" style="1" customWidth="1"/>
    <col min="8202" max="8202" width="13.140625" style="1" bestFit="1" customWidth="1"/>
    <col min="8203" max="8204" width="12.140625" style="1" customWidth="1"/>
    <col min="8205" max="8205" width="10.85546875" style="1" customWidth="1"/>
    <col min="8206" max="8206" width="9.7109375" style="1" customWidth="1"/>
    <col min="8207" max="8207" width="12.42578125" style="1" customWidth="1"/>
    <col min="8208" max="8209" width="9.7109375" style="1" customWidth="1"/>
    <col min="8210" max="8210" width="11" style="1" customWidth="1"/>
    <col min="8211" max="8447" width="9.140625" style="1"/>
    <col min="8448" max="8448" width="8.7109375" style="1" customWidth="1"/>
    <col min="8449" max="8449" width="13.5703125" style="1" bestFit="1" customWidth="1"/>
    <col min="8450" max="8451" width="12.140625" style="1" customWidth="1"/>
    <col min="8452" max="8452" width="13.140625" style="1" bestFit="1" customWidth="1"/>
    <col min="8453" max="8454" width="12.140625" style="1" customWidth="1"/>
    <col min="8455" max="8455" width="13.140625" style="1" bestFit="1" customWidth="1"/>
    <col min="8456" max="8457" width="12.140625" style="1" customWidth="1"/>
    <col min="8458" max="8458" width="13.140625" style="1" bestFit="1" customWidth="1"/>
    <col min="8459" max="8460" width="12.140625" style="1" customWidth="1"/>
    <col min="8461" max="8461" width="10.85546875" style="1" customWidth="1"/>
    <col min="8462" max="8462" width="9.7109375" style="1" customWidth="1"/>
    <col min="8463" max="8463" width="12.42578125" style="1" customWidth="1"/>
    <col min="8464" max="8465" width="9.7109375" style="1" customWidth="1"/>
    <col min="8466" max="8466" width="11" style="1" customWidth="1"/>
    <col min="8467" max="8703" width="9.140625" style="1"/>
    <col min="8704" max="8704" width="8.7109375" style="1" customWidth="1"/>
    <col min="8705" max="8705" width="13.5703125" style="1" bestFit="1" customWidth="1"/>
    <col min="8706" max="8707" width="12.140625" style="1" customWidth="1"/>
    <col min="8708" max="8708" width="13.140625" style="1" bestFit="1" customWidth="1"/>
    <col min="8709" max="8710" width="12.140625" style="1" customWidth="1"/>
    <col min="8711" max="8711" width="13.140625" style="1" bestFit="1" customWidth="1"/>
    <col min="8712" max="8713" width="12.140625" style="1" customWidth="1"/>
    <col min="8714" max="8714" width="13.140625" style="1" bestFit="1" customWidth="1"/>
    <col min="8715" max="8716" width="12.140625" style="1" customWidth="1"/>
    <col min="8717" max="8717" width="10.85546875" style="1" customWidth="1"/>
    <col min="8718" max="8718" width="9.7109375" style="1" customWidth="1"/>
    <col min="8719" max="8719" width="12.42578125" style="1" customWidth="1"/>
    <col min="8720" max="8721" width="9.7109375" style="1" customWidth="1"/>
    <col min="8722" max="8722" width="11" style="1" customWidth="1"/>
    <col min="8723" max="8959" width="9.140625" style="1"/>
    <col min="8960" max="8960" width="8.7109375" style="1" customWidth="1"/>
    <col min="8961" max="8961" width="13.5703125" style="1" bestFit="1" customWidth="1"/>
    <col min="8962" max="8963" width="12.140625" style="1" customWidth="1"/>
    <col min="8964" max="8964" width="13.140625" style="1" bestFit="1" customWidth="1"/>
    <col min="8965" max="8966" width="12.140625" style="1" customWidth="1"/>
    <col min="8967" max="8967" width="13.140625" style="1" bestFit="1" customWidth="1"/>
    <col min="8968" max="8969" width="12.140625" style="1" customWidth="1"/>
    <col min="8970" max="8970" width="13.140625" style="1" bestFit="1" customWidth="1"/>
    <col min="8971" max="8972" width="12.140625" style="1" customWidth="1"/>
    <col min="8973" max="8973" width="10.85546875" style="1" customWidth="1"/>
    <col min="8974" max="8974" width="9.7109375" style="1" customWidth="1"/>
    <col min="8975" max="8975" width="12.42578125" style="1" customWidth="1"/>
    <col min="8976" max="8977" width="9.7109375" style="1" customWidth="1"/>
    <col min="8978" max="8978" width="11" style="1" customWidth="1"/>
    <col min="8979" max="9215" width="9.140625" style="1"/>
    <col min="9216" max="9216" width="8.7109375" style="1" customWidth="1"/>
    <col min="9217" max="9217" width="13.5703125" style="1" bestFit="1" customWidth="1"/>
    <col min="9218" max="9219" width="12.140625" style="1" customWidth="1"/>
    <col min="9220" max="9220" width="13.140625" style="1" bestFit="1" customWidth="1"/>
    <col min="9221" max="9222" width="12.140625" style="1" customWidth="1"/>
    <col min="9223" max="9223" width="13.140625" style="1" bestFit="1" customWidth="1"/>
    <col min="9224" max="9225" width="12.140625" style="1" customWidth="1"/>
    <col min="9226" max="9226" width="13.140625" style="1" bestFit="1" customWidth="1"/>
    <col min="9227" max="9228" width="12.140625" style="1" customWidth="1"/>
    <col min="9229" max="9229" width="10.85546875" style="1" customWidth="1"/>
    <col min="9230" max="9230" width="9.7109375" style="1" customWidth="1"/>
    <col min="9231" max="9231" width="12.42578125" style="1" customWidth="1"/>
    <col min="9232" max="9233" width="9.7109375" style="1" customWidth="1"/>
    <col min="9234" max="9234" width="11" style="1" customWidth="1"/>
    <col min="9235" max="9471" width="9.140625" style="1"/>
    <col min="9472" max="9472" width="8.7109375" style="1" customWidth="1"/>
    <col min="9473" max="9473" width="13.5703125" style="1" bestFit="1" customWidth="1"/>
    <col min="9474" max="9475" width="12.140625" style="1" customWidth="1"/>
    <col min="9476" max="9476" width="13.140625" style="1" bestFit="1" customWidth="1"/>
    <col min="9477" max="9478" width="12.140625" style="1" customWidth="1"/>
    <col min="9479" max="9479" width="13.140625" style="1" bestFit="1" customWidth="1"/>
    <col min="9480" max="9481" width="12.140625" style="1" customWidth="1"/>
    <col min="9482" max="9482" width="13.140625" style="1" bestFit="1" customWidth="1"/>
    <col min="9483" max="9484" width="12.140625" style="1" customWidth="1"/>
    <col min="9485" max="9485" width="10.85546875" style="1" customWidth="1"/>
    <col min="9486" max="9486" width="9.7109375" style="1" customWidth="1"/>
    <col min="9487" max="9487" width="12.42578125" style="1" customWidth="1"/>
    <col min="9488" max="9489" width="9.7109375" style="1" customWidth="1"/>
    <col min="9490" max="9490" width="11" style="1" customWidth="1"/>
    <col min="9491" max="9727" width="9.140625" style="1"/>
    <col min="9728" max="9728" width="8.7109375" style="1" customWidth="1"/>
    <col min="9729" max="9729" width="13.5703125" style="1" bestFit="1" customWidth="1"/>
    <col min="9730" max="9731" width="12.140625" style="1" customWidth="1"/>
    <col min="9732" max="9732" width="13.140625" style="1" bestFit="1" customWidth="1"/>
    <col min="9733" max="9734" width="12.140625" style="1" customWidth="1"/>
    <col min="9735" max="9735" width="13.140625" style="1" bestFit="1" customWidth="1"/>
    <col min="9736" max="9737" width="12.140625" style="1" customWidth="1"/>
    <col min="9738" max="9738" width="13.140625" style="1" bestFit="1" customWidth="1"/>
    <col min="9739" max="9740" width="12.140625" style="1" customWidth="1"/>
    <col min="9741" max="9741" width="10.85546875" style="1" customWidth="1"/>
    <col min="9742" max="9742" width="9.7109375" style="1" customWidth="1"/>
    <col min="9743" max="9743" width="12.42578125" style="1" customWidth="1"/>
    <col min="9744" max="9745" width="9.7109375" style="1" customWidth="1"/>
    <col min="9746" max="9746" width="11" style="1" customWidth="1"/>
    <col min="9747" max="9983" width="9.140625" style="1"/>
    <col min="9984" max="9984" width="8.7109375" style="1" customWidth="1"/>
    <col min="9985" max="9985" width="13.5703125" style="1" bestFit="1" customWidth="1"/>
    <col min="9986" max="9987" width="12.140625" style="1" customWidth="1"/>
    <col min="9988" max="9988" width="13.140625" style="1" bestFit="1" customWidth="1"/>
    <col min="9989" max="9990" width="12.140625" style="1" customWidth="1"/>
    <col min="9991" max="9991" width="13.140625" style="1" bestFit="1" customWidth="1"/>
    <col min="9992" max="9993" width="12.140625" style="1" customWidth="1"/>
    <col min="9994" max="9994" width="13.140625" style="1" bestFit="1" customWidth="1"/>
    <col min="9995" max="9996" width="12.140625" style="1" customWidth="1"/>
    <col min="9997" max="9997" width="10.85546875" style="1" customWidth="1"/>
    <col min="9998" max="9998" width="9.7109375" style="1" customWidth="1"/>
    <col min="9999" max="9999" width="12.42578125" style="1" customWidth="1"/>
    <col min="10000" max="10001" width="9.7109375" style="1" customWidth="1"/>
    <col min="10002" max="10002" width="11" style="1" customWidth="1"/>
    <col min="10003" max="10239" width="9.140625" style="1"/>
    <col min="10240" max="10240" width="8.7109375" style="1" customWidth="1"/>
    <col min="10241" max="10241" width="13.5703125" style="1" bestFit="1" customWidth="1"/>
    <col min="10242" max="10243" width="12.140625" style="1" customWidth="1"/>
    <col min="10244" max="10244" width="13.140625" style="1" bestFit="1" customWidth="1"/>
    <col min="10245" max="10246" width="12.140625" style="1" customWidth="1"/>
    <col min="10247" max="10247" width="13.140625" style="1" bestFit="1" customWidth="1"/>
    <col min="10248" max="10249" width="12.140625" style="1" customWidth="1"/>
    <col min="10250" max="10250" width="13.140625" style="1" bestFit="1" customWidth="1"/>
    <col min="10251" max="10252" width="12.140625" style="1" customWidth="1"/>
    <col min="10253" max="10253" width="10.85546875" style="1" customWidth="1"/>
    <col min="10254" max="10254" width="9.7109375" style="1" customWidth="1"/>
    <col min="10255" max="10255" width="12.42578125" style="1" customWidth="1"/>
    <col min="10256" max="10257" width="9.7109375" style="1" customWidth="1"/>
    <col min="10258" max="10258" width="11" style="1" customWidth="1"/>
    <col min="10259" max="10495" width="9.140625" style="1"/>
    <col min="10496" max="10496" width="8.7109375" style="1" customWidth="1"/>
    <col min="10497" max="10497" width="13.5703125" style="1" bestFit="1" customWidth="1"/>
    <col min="10498" max="10499" width="12.140625" style="1" customWidth="1"/>
    <col min="10500" max="10500" width="13.140625" style="1" bestFit="1" customWidth="1"/>
    <col min="10501" max="10502" width="12.140625" style="1" customWidth="1"/>
    <col min="10503" max="10503" width="13.140625" style="1" bestFit="1" customWidth="1"/>
    <col min="10504" max="10505" width="12.140625" style="1" customWidth="1"/>
    <col min="10506" max="10506" width="13.140625" style="1" bestFit="1" customWidth="1"/>
    <col min="10507" max="10508" width="12.140625" style="1" customWidth="1"/>
    <col min="10509" max="10509" width="10.85546875" style="1" customWidth="1"/>
    <col min="10510" max="10510" width="9.7109375" style="1" customWidth="1"/>
    <col min="10511" max="10511" width="12.42578125" style="1" customWidth="1"/>
    <col min="10512" max="10513" width="9.7109375" style="1" customWidth="1"/>
    <col min="10514" max="10514" width="11" style="1" customWidth="1"/>
    <col min="10515" max="10751" width="9.140625" style="1"/>
    <col min="10752" max="10752" width="8.7109375" style="1" customWidth="1"/>
    <col min="10753" max="10753" width="13.5703125" style="1" bestFit="1" customWidth="1"/>
    <col min="10754" max="10755" width="12.140625" style="1" customWidth="1"/>
    <col min="10756" max="10756" width="13.140625" style="1" bestFit="1" customWidth="1"/>
    <col min="10757" max="10758" width="12.140625" style="1" customWidth="1"/>
    <col min="10759" max="10759" width="13.140625" style="1" bestFit="1" customWidth="1"/>
    <col min="10760" max="10761" width="12.140625" style="1" customWidth="1"/>
    <col min="10762" max="10762" width="13.140625" style="1" bestFit="1" customWidth="1"/>
    <col min="10763" max="10764" width="12.140625" style="1" customWidth="1"/>
    <col min="10765" max="10765" width="10.85546875" style="1" customWidth="1"/>
    <col min="10766" max="10766" width="9.7109375" style="1" customWidth="1"/>
    <col min="10767" max="10767" width="12.42578125" style="1" customWidth="1"/>
    <col min="10768" max="10769" width="9.7109375" style="1" customWidth="1"/>
    <col min="10770" max="10770" width="11" style="1" customWidth="1"/>
    <col min="10771" max="11007" width="9.140625" style="1"/>
    <col min="11008" max="11008" width="8.7109375" style="1" customWidth="1"/>
    <col min="11009" max="11009" width="13.5703125" style="1" bestFit="1" customWidth="1"/>
    <col min="11010" max="11011" width="12.140625" style="1" customWidth="1"/>
    <col min="11012" max="11012" width="13.140625" style="1" bestFit="1" customWidth="1"/>
    <col min="11013" max="11014" width="12.140625" style="1" customWidth="1"/>
    <col min="11015" max="11015" width="13.140625" style="1" bestFit="1" customWidth="1"/>
    <col min="11016" max="11017" width="12.140625" style="1" customWidth="1"/>
    <col min="11018" max="11018" width="13.140625" style="1" bestFit="1" customWidth="1"/>
    <col min="11019" max="11020" width="12.140625" style="1" customWidth="1"/>
    <col min="11021" max="11021" width="10.85546875" style="1" customWidth="1"/>
    <col min="11022" max="11022" width="9.7109375" style="1" customWidth="1"/>
    <col min="11023" max="11023" width="12.42578125" style="1" customWidth="1"/>
    <col min="11024" max="11025" width="9.7109375" style="1" customWidth="1"/>
    <col min="11026" max="11026" width="11" style="1" customWidth="1"/>
    <col min="11027" max="11263" width="9.140625" style="1"/>
    <col min="11264" max="11264" width="8.7109375" style="1" customWidth="1"/>
    <col min="11265" max="11265" width="13.5703125" style="1" bestFit="1" customWidth="1"/>
    <col min="11266" max="11267" width="12.140625" style="1" customWidth="1"/>
    <col min="11268" max="11268" width="13.140625" style="1" bestFit="1" customWidth="1"/>
    <col min="11269" max="11270" width="12.140625" style="1" customWidth="1"/>
    <col min="11271" max="11271" width="13.140625" style="1" bestFit="1" customWidth="1"/>
    <col min="11272" max="11273" width="12.140625" style="1" customWidth="1"/>
    <col min="11274" max="11274" width="13.140625" style="1" bestFit="1" customWidth="1"/>
    <col min="11275" max="11276" width="12.140625" style="1" customWidth="1"/>
    <col min="11277" max="11277" width="10.85546875" style="1" customWidth="1"/>
    <col min="11278" max="11278" width="9.7109375" style="1" customWidth="1"/>
    <col min="11279" max="11279" width="12.42578125" style="1" customWidth="1"/>
    <col min="11280" max="11281" width="9.7109375" style="1" customWidth="1"/>
    <col min="11282" max="11282" width="11" style="1" customWidth="1"/>
    <col min="11283" max="11519" width="9.140625" style="1"/>
    <col min="11520" max="11520" width="8.7109375" style="1" customWidth="1"/>
    <col min="11521" max="11521" width="13.5703125" style="1" bestFit="1" customWidth="1"/>
    <col min="11522" max="11523" width="12.140625" style="1" customWidth="1"/>
    <col min="11524" max="11524" width="13.140625" style="1" bestFit="1" customWidth="1"/>
    <col min="11525" max="11526" width="12.140625" style="1" customWidth="1"/>
    <col min="11527" max="11527" width="13.140625" style="1" bestFit="1" customWidth="1"/>
    <col min="11528" max="11529" width="12.140625" style="1" customWidth="1"/>
    <col min="11530" max="11530" width="13.140625" style="1" bestFit="1" customWidth="1"/>
    <col min="11531" max="11532" width="12.140625" style="1" customWidth="1"/>
    <col min="11533" max="11533" width="10.85546875" style="1" customWidth="1"/>
    <col min="11534" max="11534" width="9.7109375" style="1" customWidth="1"/>
    <col min="11535" max="11535" width="12.42578125" style="1" customWidth="1"/>
    <col min="11536" max="11537" width="9.7109375" style="1" customWidth="1"/>
    <col min="11538" max="11538" width="11" style="1" customWidth="1"/>
    <col min="11539" max="11775" width="9.140625" style="1"/>
    <col min="11776" max="11776" width="8.7109375" style="1" customWidth="1"/>
    <col min="11777" max="11777" width="13.5703125" style="1" bestFit="1" customWidth="1"/>
    <col min="11778" max="11779" width="12.140625" style="1" customWidth="1"/>
    <col min="11780" max="11780" width="13.140625" style="1" bestFit="1" customWidth="1"/>
    <col min="11781" max="11782" width="12.140625" style="1" customWidth="1"/>
    <col min="11783" max="11783" width="13.140625" style="1" bestFit="1" customWidth="1"/>
    <col min="11784" max="11785" width="12.140625" style="1" customWidth="1"/>
    <col min="11786" max="11786" width="13.140625" style="1" bestFit="1" customWidth="1"/>
    <col min="11787" max="11788" width="12.140625" style="1" customWidth="1"/>
    <col min="11789" max="11789" width="10.85546875" style="1" customWidth="1"/>
    <col min="11790" max="11790" width="9.7109375" style="1" customWidth="1"/>
    <col min="11791" max="11791" width="12.42578125" style="1" customWidth="1"/>
    <col min="11792" max="11793" width="9.7109375" style="1" customWidth="1"/>
    <col min="11794" max="11794" width="11" style="1" customWidth="1"/>
    <col min="11795" max="12031" width="9.140625" style="1"/>
    <col min="12032" max="12032" width="8.7109375" style="1" customWidth="1"/>
    <col min="12033" max="12033" width="13.5703125" style="1" bestFit="1" customWidth="1"/>
    <col min="12034" max="12035" width="12.140625" style="1" customWidth="1"/>
    <col min="12036" max="12036" width="13.140625" style="1" bestFit="1" customWidth="1"/>
    <col min="12037" max="12038" width="12.140625" style="1" customWidth="1"/>
    <col min="12039" max="12039" width="13.140625" style="1" bestFit="1" customWidth="1"/>
    <col min="12040" max="12041" width="12.140625" style="1" customWidth="1"/>
    <col min="12042" max="12042" width="13.140625" style="1" bestFit="1" customWidth="1"/>
    <col min="12043" max="12044" width="12.140625" style="1" customWidth="1"/>
    <col min="12045" max="12045" width="10.85546875" style="1" customWidth="1"/>
    <col min="12046" max="12046" width="9.7109375" style="1" customWidth="1"/>
    <col min="12047" max="12047" width="12.42578125" style="1" customWidth="1"/>
    <col min="12048" max="12049" width="9.7109375" style="1" customWidth="1"/>
    <col min="12050" max="12050" width="11" style="1" customWidth="1"/>
    <col min="12051" max="12287" width="9.140625" style="1"/>
    <col min="12288" max="12288" width="8.7109375" style="1" customWidth="1"/>
    <col min="12289" max="12289" width="13.5703125" style="1" bestFit="1" customWidth="1"/>
    <col min="12290" max="12291" width="12.140625" style="1" customWidth="1"/>
    <col min="12292" max="12292" width="13.140625" style="1" bestFit="1" customWidth="1"/>
    <col min="12293" max="12294" width="12.140625" style="1" customWidth="1"/>
    <col min="12295" max="12295" width="13.140625" style="1" bestFit="1" customWidth="1"/>
    <col min="12296" max="12297" width="12.140625" style="1" customWidth="1"/>
    <col min="12298" max="12298" width="13.140625" style="1" bestFit="1" customWidth="1"/>
    <col min="12299" max="12300" width="12.140625" style="1" customWidth="1"/>
    <col min="12301" max="12301" width="10.85546875" style="1" customWidth="1"/>
    <col min="12302" max="12302" width="9.7109375" style="1" customWidth="1"/>
    <col min="12303" max="12303" width="12.42578125" style="1" customWidth="1"/>
    <col min="12304" max="12305" width="9.7109375" style="1" customWidth="1"/>
    <col min="12306" max="12306" width="11" style="1" customWidth="1"/>
    <col min="12307" max="12543" width="9.140625" style="1"/>
    <col min="12544" max="12544" width="8.7109375" style="1" customWidth="1"/>
    <col min="12545" max="12545" width="13.5703125" style="1" bestFit="1" customWidth="1"/>
    <col min="12546" max="12547" width="12.140625" style="1" customWidth="1"/>
    <col min="12548" max="12548" width="13.140625" style="1" bestFit="1" customWidth="1"/>
    <col min="12549" max="12550" width="12.140625" style="1" customWidth="1"/>
    <col min="12551" max="12551" width="13.140625" style="1" bestFit="1" customWidth="1"/>
    <col min="12552" max="12553" width="12.140625" style="1" customWidth="1"/>
    <col min="12554" max="12554" width="13.140625" style="1" bestFit="1" customWidth="1"/>
    <col min="12555" max="12556" width="12.140625" style="1" customWidth="1"/>
    <col min="12557" max="12557" width="10.85546875" style="1" customWidth="1"/>
    <col min="12558" max="12558" width="9.7109375" style="1" customWidth="1"/>
    <col min="12559" max="12559" width="12.42578125" style="1" customWidth="1"/>
    <col min="12560" max="12561" width="9.7109375" style="1" customWidth="1"/>
    <col min="12562" max="12562" width="11" style="1" customWidth="1"/>
    <col min="12563" max="12799" width="9.140625" style="1"/>
    <col min="12800" max="12800" width="8.7109375" style="1" customWidth="1"/>
    <col min="12801" max="12801" width="13.5703125" style="1" bestFit="1" customWidth="1"/>
    <col min="12802" max="12803" width="12.140625" style="1" customWidth="1"/>
    <col min="12804" max="12804" width="13.140625" style="1" bestFit="1" customWidth="1"/>
    <col min="12805" max="12806" width="12.140625" style="1" customWidth="1"/>
    <col min="12807" max="12807" width="13.140625" style="1" bestFit="1" customWidth="1"/>
    <col min="12808" max="12809" width="12.140625" style="1" customWidth="1"/>
    <col min="12810" max="12810" width="13.140625" style="1" bestFit="1" customWidth="1"/>
    <col min="12811" max="12812" width="12.140625" style="1" customWidth="1"/>
    <col min="12813" max="12813" width="10.85546875" style="1" customWidth="1"/>
    <col min="12814" max="12814" width="9.7109375" style="1" customWidth="1"/>
    <col min="12815" max="12815" width="12.42578125" style="1" customWidth="1"/>
    <col min="12816" max="12817" width="9.7109375" style="1" customWidth="1"/>
    <col min="12818" max="12818" width="11" style="1" customWidth="1"/>
    <col min="12819" max="13055" width="9.140625" style="1"/>
    <col min="13056" max="13056" width="8.7109375" style="1" customWidth="1"/>
    <col min="13057" max="13057" width="13.5703125" style="1" bestFit="1" customWidth="1"/>
    <col min="13058" max="13059" width="12.140625" style="1" customWidth="1"/>
    <col min="13060" max="13060" width="13.140625" style="1" bestFit="1" customWidth="1"/>
    <col min="13061" max="13062" width="12.140625" style="1" customWidth="1"/>
    <col min="13063" max="13063" width="13.140625" style="1" bestFit="1" customWidth="1"/>
    <col min="13064" max="13065" width="12.140625" style="1" customWidth="1"/>
    <col min="13066" max="13066" width="13.140625" style="1" bestFit="1" customWidth="1"/>
    <col min="13067" max="13068" width="12.140625" style="1" customWidth="1"/>
    <col min="13069" max="13069" width="10.85546875" style="1" customWidth="1"/>
    <col min="13070" max="13070" width="9.7109375" style="1" customWidth="1"/>
    <col min="13071" max="13071" width="12.42578125" style="1" customWidth="1"/>
    <col min="13072" max="13073" width="9.7109375" style="1" customWidth="1"/>
    <col min="13074" max="13074" width="11" style="1" customWidth="1"/>
    <col min="13075" max="13311" width="9.140625" style="1"/>
    <col min="13312" max="13312" width="8.7109375" style="1" customWidth="1"/>
    <col min="13313" max="13313" width="13.5703125" style="1" bestFit="1" customWidth="1"/>
    <col min="13314" max="13315" width="12.140625" style="1" customWidth="1"/>
    <col min="13316" max="13316" width="13.140625" style="1" bestFit="1" customWidth="1"/>
    <col min="13317" max="13318" width="12.140625" style="1" customWidth="1"/>
    <col min="13319" max="13319" width="13.140625" style="1" bestFit="1" customWidth="1"/>
    <col min="13320" max="13321" width="12.140625" style="1" customWidth="1"/>
    <col min="13322" max="13322" width="13.140625" style="1" bestFit="1" customWidth="1"/>
    <col min="13323" max="13324" width="12.140625" style="1" customWidth="1"/>
    <col min="13325" max="13325" width="10.85546875" style="1" customWidth="1"/>
    <col min="13326" max="13326" width="9.7109375" style="1" customWidth="1"/>
    <col min="13327" max="13327" width="12.42578125" style="1" customWidth="1"/>
    <col min="13328" max="13329" width="9.7109375" style="1" customWidth="1"/>
    <col min="13330" max="13330" width="11" style="1" customWidth="1"/>
    <col min="13331" max="13567" width="9.140625" style="1"/>
    <col min="13568" max="13568" width="8.7109375" style="1" customWidth="1"/>
    <col min="13569" max="13569" width="13.5703125" style="1" bestFit="1" customWidth="1"/>
    <col min="13570" max="13571" width="12.140625" style="1" customWidth="1"/>
    <col min="13572" max="13572" width="13.140625" style="1" bestFit="1" customWidth="1"/>
    <col min="13573" max="13574" width="12.140625" style="1" customWidth="1"/>
    <col min="13575" max="13575" width="13.140625" style="1" bestFit="1" customWidth="1"/>
    <col min="13576" max="13577" width="12.140625" style="1" customWidth="1"/>
    <col min="13578" max="13578" width="13.140625" style="1" bestFit="1" customWidth="1"/>
    <col min="13579" max="13580" width="12.140625" style="1" customWidth="1"/>
    <col min="13581" max="13581" width="10.85546875" style="1" customWidth="1"/>
    <col min="13582" max="13582" width="9.7109375" style="1" customWidth="1"/>
    <col min="13583" max="13583" width="12.42578125" style="1" customWidth="1"/>
    <col min="13584" max="13585" width="9.7109375" style="1" customWidth="1"/>
    <col min="13586" max="13586" width="11" style="1" customWidth="1"/>
    <col min="13587" max="13823" width="9.140625" style="1"/>
    <col min="13824" max="13824" width="8.7109375" style="1" customWidth="1"/>
    <col min="13825" max="13825" width="13.5703125" style="1" bestFit="1" customWidth="1"/>
    <col min="13826" max="13827" width="12.140625" style="1" customWidth="1"/>
    <col min="13828" max="13828" width="13.140625" style="1" bestFit="1" customWidth="1"/>
    <col min="13829" max="13830" width="12.140625" style="1" customWidth="1"/>
    <col min="13831" max="13831" width="13.140625" style="1" bestFit="1" customWidth="1"/>
    <col min="13832" max="13833" width="12.140625" style="1" customWidth="1"/>
    <col min="13834" max="13834" width="13.140625" style="1" bestFit="1" customWidth="1"/>
    <col min="13835" max="13836" width="12.140625" style="1" customWidth="1"/>
    <col min="13837" max="13837" width="10.85546875" style="1" customWidth="1"/>
    <col min="13838" max="13838" width="9.7109375" style="1" customWidth="1"/>
    <col min="13839" max="13839" width="12.42578125" style="1" customWidth="1"/>
    <col min="13840" max="13841" width="9.7109375" style="1" customWidth="1"/>
    <col min="13842" max="13842" width="11" style="1" customWidth="1"/>
    <col min="13843" max="14079" width="9.140625" style="1"/>
    <col min="14080" max="14080" width="8.7109375" style="1" customWidth="1"/>
    <col min="14081" max="14081" width="13.5703125" style="1" bestFit="1" customWidth="1"/>
    <col min="14082" max="14083" width="12.140625" style="1" customWidth="1"/>
    <col min="14084" max="14084" width="13.140625" style="1" bestFit="1" customWidth="1"/>
    <col min="14085" max="14086" width="12.140625" style="1" customWidth="1"/>
    <col min="14087" max="14087" width="13.140625" style="1" bestFit="1" customWidth="1"/>
    <col min="14088" max="14089" width="12.140625" style="1" customWidth="1"/>
    <col min="14090" max="14090" width="13.140625" style="1" bestFit="1" customWidth="1"/>
    <col min="14091" max="14092" width="12.140625" style="1" customWidth="1"/>
    <col min="14093" max="14093" width="10.85546875" style="1" customWidth="1"/>
    <col min="14094" max="14094" width="9.7109375" style="1" customWidth="1"/>
    <col min="14095" max="14095" width="12.42578125" style="1" customWidth="1"/>
    <col min="14096" max="14097" width="9.7109375" style="1" customWidth="1"/>
    <col min="14098" max="14098" width="11" style="1" customWidth="1"/>
    <col min="14099" max="14335" width="9.140625" style="1"/>
    <col min="14336" max="14336" width="8.7109375" style="1" customWidth="1"/>
    <col min="14337" max="14337" width="13.5703125" style="1" bestFit="1" customWidth="1"/>
    <col min="14338" max="14339" width="12.140625" style="1" customWidth="1"/>
    <col min="14340" max="14340" width="13.140625" style="1" bestFit="1" customWidth="1"/>
    <col min="14341" max="14342" width="12.140625" style="1" customWidth="1"/>
    <col min="14343" max="14343" width="13.140625" style="1" bestFit="1" customWidth="1"/>
    <col min="14344" max="14345" width="12.140625" style="1" customWidth="1"/>
    <col min="14346" max="14346" width="13.140625" style="1" bestFit="1" customWidth="1"/>
    <col min="14347" max="14348" width="12.140625" style="1" customWidth="1"/>
    <col min="14349" max="14349" width="10.85546875" style="1" customWidth="1"/>
    <col min="14350" max="14350" width="9.7109375" style="1" customWidth="1"/>
    <col min="14351" max="14351" width="12.42578125" style="1" customWidth="1"/>
    <col min="14352" max="14353" width="9.7109375" style="1" customWidth="1"/>
    <col min="14354" max="14354" width="11" style="1" customWidth="1"/>
    <col min="14355" max="14591" width="9.140625" style="1"/>
    <col min="14592" max="14592" width="8.7109375" style="1" customWidth="1"/>
    <col min="14593" max="14593" width="13.5703125" style="1" bestFit="1" customWidth="1"/>
    <col min="14594" max="14595" width="12.140625" style="1" customWidth="1"/>
    <col min="14596" max="14596" width="13.140625" style="1" bestFit="1" customWidth="1"/>
    <col min="14597" max="14598" width="12.140625" style="1" customWidth="1"/>
    <col min="14599" max="14599" width="13.140625" style="1" bestFit="1" customWidth="1"/>
    <col min="14600" max="14601" width="12.140625" style="1" customWidth="1"/>
    <col min="14602" max="14602" width="13.140625" style="1" bestFit="1" customWidth="1"/>
    <col min="14603" max="14604" width="12.140625" style="1" customWidth="1"/>
    <col min="14605" max="14605" width="10.85546875" style="1" customWidth="1"/>
    <col min="14606" max="14606" width="9.7109375" style="1" customWidth="1"/>
    <col min="14607" max="14607" width="12.42578125" style="1" customWidth="1"/>
    <col min="14608" max="14609" width="9.7109375" style="1" customWidth="1"/>
    <col min="14610" max="14610" width="11" style="1" customWidth="1"/>
    <col min="14611" max="14847" width="9.140625" style="1"/>
    <col min="14848" max="14848" width="8.7109375" style="1" customWidth="1"/>
    <col min="14849" max="14849" width="13.5703125" style="1" bestFit="1" customWidth="1"/>
    <col min="14850" max="14851" width="12.140625" style="1" customWidth="1"/>
    <col min="14852" max="14852" width="13.140625" style="1" bestFit="1" customWidth="1"/>
    <col min="14853" max="14854" width="12.140625" style="1" customWidth="1"/>
    <col min="14855" max="14855" width="13.140625" style="1" bestFit="1" customWidth="1"/>
    <col min="14856" max="14857" width="12.140625" style="1" customWidth="1"/>
    <col min="14858" max="14858" width="13.140625" style="1" bestFit="1" customWidth="1"/>
    <col min="14859" max="14860" width="12.140625" style="1" customWidth="1"/>
    <col min="14861" max="14861" width="10.85546875" style="1" customWidth="1"/>
    <col min="14862" max="14862" width="9.7109375" style="1" customWidth="1"/>
    <col min="14863" max="14863" width="12.42578125" style="1" customWidth="1"/>
    <col min="14864" max="14865" width="9.7109375" style="1" customWidth="1"/>
    <col min="14866" max="14866" width="11" style="1" customWidth="1"/>
    <col min="14867" max="15103" width="9.140625" style="1"/>
    <col min="15104" max="15104" width="8.7109375" style="1" customWidth="1"/>
    <col min="15105" max="15105" width="13.5703125" style="1" bestFit="1" customWidth="1"/>
    <col min="15106" max="15107" width="12.140625" style="1" customWidth="1"/>
    <col min="15108" max="15108" width="13.140625" style="1" bestFit="1" customWidth="1"/>
    <col min="15109" max="15110" width="12.140625" style="1" customWidth="1"/>
    <col min="15111" max="15111" width="13.140625" style="1" bestFit="1" customWidth="1"/>
    <col min="15112" max="15113" width="12.140625" style="1" customWidth="1"/>
    <col min="15114" max="15114" width="13.140625" style="1" bestFit="1" customWidth="1"/>
    <col min="15115" max="15116" width="12.140625" style="1" customWidth="1"/>
    <col min="15117" max="15117" width="10.85546875" style="1" customWidth="1"/>
    <col min="15118" max="15118" width="9.7109375" style="1" customWidth="1"/>
    <col min="15119" max="15119" width="12.42578125" style="1" customWidth="1"/>
    <col min="15120" max="15121" width="9.7109375" style="1" customWidth="1"/>
    <col min="15122" max="15122" width="11" style="1" customWidth="1"/>
    <col min="15123" max="15359" width="9.140625" style="1"/>
    <col min="15360" max="15360" width="8.7109375" style="1" customWidth="1"/>
    <col min="15361" max="15361" width="13.5703125" style="1" bestFit="1" customWidth="1"/>
    <col min="15362" max="15363" width="12.140625" style="1" customWidth="1"/>
    <col min="15364" max="15364" width="13.140625" style="1" bestFit="1" customWidth="1"/>
    <col min="15365" max="15366" width="12.140625" style="1" customWidth="1"/>
    <col min="15367" max="15367" width="13.140625" style="1" bestFit="1" customWidth="1"/>
    <col min="15368" max="15369" width="12.140625" style="1" customWidth="1"/>
    <col min="15370" max="15370" width="13.140625" style="1" bestFit="1" customWidth="1"/>
    <col min="15371" max="15372" width="12.140625" style="1" customWidth="1"/>
    <col min="15373" max="15373" width="10.85546875" style="1" customWidth="1"/>
    <col min="15374" max="15374" width="9.7109375" style="1" customWidth="1"/>
    <col min="15375" max="15375" width="12.42578125" style="1" customWidth="1"/>
    <col min="15376" max="15377" width="9.7109375" style="1" customWidth="1"/>
    <col min="15378" max="15378" width="11" style="1" customWidth="1"/>
    <col min="15379" max="15615" width="9.140625" style="1"/>
    <col min="15616" max="15616" width="8.7109375" style="1" customWidth="1"/>
    <col min="15617" max="15617" width="13.5703125" style="1" bestFit="1" customWidth="1"/>
    <col min="15618" max="15619" width="12.140625" style="1" customWidth="1"/>
    <col min="15620" max="15620" width="13.140625" style="1" bestFit="1" customWidth="1"/>
    <col min="15621" max="15622" width="12.140625" style="1" customWidth="1"/>
    <col min="15623" max="15623" width="13.140625" style="1" bestFit="1" customWidth="1"/>
    <col min="15624" max="15625" width="12.140625" style="1" customWidth="1"/>
    <col min="15626" max="15626" width="13.140625" style="1" bestFit="1" customWidth="1"/>
    <col min="15627" max="15628" width="12.140625" style="1" customWidth="1"/>
    <col min="15629" max="15629" width="10.85546875" style="1" customWidth="1"/>
    <col min="15630" max="15630" width="9.7109375" style="1" customWidth="1"/>
    <col min="15631" max="15631" width="12.42578125" style="1" customWidth="1"/>
    <col min="15632" max="15633" width="9.7109375" style="1" customWidth="1"/>
    <col min="15634" max="15634" width="11" style="1" customWidth="1"/>
    <col min="15635" max="15871" width="9.140625" style="1"/>
    <col min="15872" max="15872" width="8.7109375" style="1" customWidth="1"/>
    <col min="15873" max="15873" width="13.5703125" style="1" bestFit="1" customWidth="1"/>
    <col min="15874" max="15875" width="12.140625" style="1" customWidth="1"/>
    <col min="15876" max="15876" width="13.140625" style="1" bestFit="1" customWidth="1"/>
    <col min="15877" max="15878" width="12.140625" style="1" customWidth="1"/>
    <col min="15879" max="15879" width="13.140625" style="1" bestFit="1" customWidth="1"/>
    <col min="15880" max="15881" width="12.140625" style="1" customWidth="1"/>
    <col min="15882" max="15882" width="13.140625" style="1" bestFit="1" customWidth="1"/>
    <col min="15883" max="15884" width="12.140625" style="1" customWidth="1"/>
    <col min="15885" max="15885" width="10.85546875" style="1" customWidth="1"/>
    <col min="15886" max="15886" width="9.7109375" style="1" customWidth="1"/>
    <col min="15887" max="15887" width="12.42578125" style="1" customWidth="1"/>
    <col min="15888" max="15889" width="9.7109375" style="1" customWidth="1"/>
    <col min="15890" max="15890" width="11" style="1" customWidth="1"/>
    <col min="15891" max="16127" width="9.140625" style="1"/>
    <col min="16128" max="16128" width="8.7109375" style="1" customWidth="1"/>
    <col min="16129" max="16129" width="13.5703125" style="1" bestFit="1" customWidth="1"/>
    <col min="16130" max="16131" width="12.140625" style="1" customWidth="1"/>
    <col min="16132" max="16132" width="13.140625" style="1" bestFit="1" customWidth="1"/>
    <col min="16133" max="16134" width="12.140625" style="1" customWidth="1"/>
    <col min="16135" max="16135" width="13.140625" style="1" bestFit="1" customWidth="1"/>
    <col min="16136" max="16137" width="12.140625" style="1" customWidth="1"/>
    <col min="16138" max="16138" width="13.140625" style="1" bestFit="1" customWidth="1"/>
    <col min="16139" max="16140" width="12.140625" style="1" customWidth="1"/>
    <col min="16141" max="16141" width="10.85546875" style="1" customWidth="1"/>
    <col min="16142" max="16142" width="9.7109375" style="1" customWidth="1"/>
    <col min="16143" max="16143" width="12.42578125" style="1" customWidth="1"/>
    <col min="16144" max="16145" width="9.7109375" style="1" customWidth="1"/>
    <col min="16146" max="16146" width="11" style="1" customWidth="1"/>
    <col min="16147" max="16384" width="9.140625" style="1"/>
  </cols>
  <sheetData>
    <row r="1" spans="1:13" ht="20.25" x14ac:dyDescent="0.3">
      <c r="A1" s="545" t="s">
        <v>40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</row>
    <row r="2" spans="1:13" ht="13.5" customHeight="1" x14ac:dyDescent="0.3">
      <c r="A2" s="547"/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</row>
    <row r="3" spans="1:13" ht="13.5" customHeight="1" thickBot="1" x14ac:dyDescent="0.25">
      <c r="B3" s="2"/>
      <c r="C3" s="3"/>
      <c r="D3" s="4"/>
      <c r="E3" s="4"/>
      <c r="F3" s="4"/>
      <c r="G3" s="5"/>
      <c r="H3" s="5"/>
      <c r="I3" s="5"/>
      <c r="J3" s="5"/>
      <c r="K3" s="6"/>
      <c r="L3" s="6"/>
      <c r="M3" s="64" t="s">
        <v>26</v>
      </c>
    </row>
    <row r="4" spans="1:13" ht="13.5" customHeight="1" x14ac:dyDescent="0.2">
      <c r="A4" s="524" t="s">
        <v>2</v>
      </c>
      <c r="B4" s="548" t="s">
        <v>27</v>
      </c>
      <c r="C4" s="528"/>
      <c r="D4" s="529"/>
      <c r="E4" s="549" t="s">
        <v>28</v>
      </c>
      <c r="F4" s="528"/>
      <c r="G4" s="529"/>
      <c r="H4" s="550" t="s">
        <v>29</v>
      </c>
      <c r="I4" s="528"/>
      <c r="J4" s="529"/>
      <c r="K4" s="551" t="s">
        <v>30</v>
      </c>
      <c r="L4" s="528"/>
      <c r="M4" s="529"/>
    </row>
    <row r="5" spans="1:13" ht="13.5" customHeight="1" thickBot="1" x14ac:dyDescent="0.25">
      <c r="A5" s="525"/>
      <c r="B5" s="530"/>
      <c r="C5" s="531"/>
      <c r="D5" s="532"/>
      <c r="E5" s="530"/>
      <c r="F5" s="531"/>
      <c r="G5" s="532"/>
      <c r="H5" s="530"/>
      <c r="I5" s="531"/>
      <c r="J5" s="532"/>
      <c r="K5" s="530"/>
      <c r="L5" s="531"/>
      <c r="M5" s="532"/>
    </row>
    <row r="6" spans="1:13" x14ac:dyDescent="0.2">
      <c r="A6" s="525"/>
      <c r="B6" s="539" t="s">
        <v>3</v>
      </c>
      <c r="C6" s="521" t="s">
        <v>31</v>
      </c>
      <c r="D6" s="517" t="s">
        <v>32</v>
      </c>
      <c r="E6" s="539" t="s">
        <v>4</v>
      </c>
      <c r="F6" s="521" t="s">
        <v>31</v>
      </c>
      <c r="G6" s="517" t="s">
        <v>32</v>
      </c>
      <c r="H6" s="541" t="s">
        <v>5</v>
      </c>
      <c r="I6" s="521" t="s">
        <v>31</v>
      </c>
      <c r="J6" s="517" t="s">
        <v>32</v>
      </c>
      <c r="K6" s="539" t="s">
        <v>6</v>
      </c>
      <c r="L6" s="521" t="s">
        <v>31</v>
      </c>
      <c r="M6" s="517" t="s">
        <v>32</v>
      </c>
    </row>
    <row r="7" spans="1:13" ht="13.5" thickBot="1" x14ac:dyDescent="0.25">
      <c r="A7" s="526"/>
      <c r="B7" s="540"/>
      <c r="C7" s="522"/>
      <c r="D7" s="518"/>
      <c r="E7" s="540"/>
      <c r="F7" s="522"/>
      <c r="G7" s="518"/>
      <c r="H7" s="540"/>
      <c r="I7" s="522"/>
      <c r="J7" s="518"/>
      <c r="K7" s="540"/>
      <c r="L7" s="522"/>
      <c r="M7" s="518"/>
    </row>
    <row r="8" spans="1:13" x14ac:dyDescent="0.2">
      <c r="A8" s="8" t="s">
        <v>7</v>
      </c>
      <c r="B8" s="13">
        <v>153821859</v>
      </c>
      <c r="C8" s="23">
        <f>C20/12</f>
        <v>96342833.333333328</v>
      </c>
      <c r="D8" s="12">
        <f>B8-C8</f>
        <v>57479025.666666672</v>
      </c>
      <c r="E8" s="22">
        <v>10969721</v>
      </c>
      <c r="F8" s="23">
        <f>F20/12</f>
        <v>6880916.666666667</v>
      </c>
      <c r="G8" s="12">
        <f>E8-F8</f>
        <v>4088804.333333333</v>
      </c>
      <c r="H8" s="22">
        <v>1640943.81</v>
      </c>
      <c r="I8" s="23">
        <f>I20/12</f>
        <v>2042166.6666666667</v>
      </c>
      <c r="J8" s="24">
        <f>H8-I8</f>
        <v>-401222.85666666669</v>
      </c>
      <c r="K8" s="22">
        <v>9555758</v>
      </c>
      <c r="L8" s="23">
        <f>L20/12</f>
        <v>1584083.3333333333</v>
      </c>
      <c r="M8" s="24">
        <f>K8-L8</f>
        <v>7971674.666666667</v>
      </c>
    </row>
    <row r="9" spans="1:13" x14ac:dyDescent="0.2">
      <c r="A9" s="9" t="s">
        <v>8</v>
      </c>
      <c r="B9" s="10">
        <f>107498603+B8</f>
        <v>261320462</v>
      </c>
      <c r="C9" s="11">
        <f>C8*2</f>
        <v>192685666.66666666</v>
      </c>
      <c r="D9" s="12">
        <f>B9-C9</f>
        <v>68634795.333333343</v>
      </c>
      <c r="E9" s="13">
        <f>7666204+E8</f>
        <v>18635925</v>
      </c>
      <c r="F9" s="11">
        <f>F8*2</f>
        <v>13761833.333333334</v>
      </c>
      <c r="G9" s="12">
        <f>E9-F9</f>
        <v>4874091.666666666</v>
      </c>
      <c r="H9" s="13">
        <f>574541.01+H8</f>
        <v>2215484.8200000003</v>
      </c>
      <c r="I9" s="11">
        <f>I8*2</f>
        <v>4084333.3333333335</v>
      </c>
      <c r="J9" s="12">
        <f>H9-I9</f>
        <v>-1868848.5133333332</v>
      </c>
      <c r="K9" s="10">
        <f>1200492+K8</f>
        <v>10756250</v>
      </c>
      <c r="L9" s="11">
        <f>L8*2</f>
        <v>3168166.6666666665</v>
      </c>
      <c r="M9" s="12">
        <f>K9-L9</f>
        <v>7588083.333333334</v>
      </c>
    </row>
    <row r="10" spans="1:13" x14ac:dyDescent="0.2">
      <c r="A10" s="9" t="s">
        <v>9</v>
      </c>
      <c r="B10" s="10">
        <f>82433168+B9</f>
        <v>343753630</v>
      </c>
      <c r="C10" s="11">
        <f>C8*3</f>
        <v>289028500</v>
      </c>
      <c r="D10" s="12">
        <f t="shared" ref="D10:D19" si="0">B10-C10</f>
        <v>54725130</v>
      </c>
      <c r="E10" s="13">
        <f>5878676+E9</f>
        <v>24514601</v>
      </c>
      <c r="F10" s="14">
        <f>F8*3</f>
        <v>20642750</v>
      </c>
      <c r="G10" s="12">
        <f t="shared" ref="G10:G19" si="1">E10-F10</f>
        <v>3871851</v>
      </c>
      <c r="H10" s="13">
        <f>582665.36+H9</f>
        <v>2798150.18</v>
      </c>
      <c r="I10" s="14">
        <f>I8*3</f>
        <v>6126500</v>
      </c>
      <c r="J10" s="12">
        <f t="shared" ref="J10:J19" si="2">H10-I10</f>
        <v>-3328349.82</v>
      </c>
      <c r="K10" s="10">
        <f>2811801+K9</f>
        <v>13568051</v>
      </c>
      <c r="L10" s="14">
        <f>L8*3</f>
        <v>4752250</v>
      </c>
      <c r="M10" s="12">
        <f t="shared" ref="M10:M19" si="3">K10-L10</f>
        <v>8815801</v>
      </c>
    </row>
    <row r="11" spans="1:13" x14ac:dyDescent="0.2">
      <c r="A11" s="9" t="s">
        <v>10</v>
      </c>
      <c r="B11" s="10">
        <f>67861279+B10</f>
        <v>411614909</v>
      </c>
      <c r="C11" s="11">
        <f>C8*4</f>
        <v>385371333.33333331</v>
      </c>
      <c r="D11" s="12">
        <f t="shared" si="0"/>
        <v>26243575.666666687</v>
      </c>
      <c r="E11" s="13">
        <f>4839490+E10</f>
        <v>29354091</v>
      </c>
      <c r="F11" s="11">
        <f>F8*4</f>
        <v>27523666.666666668</v>
      </c>
      <c r="G11" s="12">
        <f t="shared" si="1"/>
        <v>1830424.3333333321</v>
      </c>
      <c r="H11" s="13">
        <f>16680+H10</f>
        <v>2814830.18</v>
      </c>
      <c r="I11" s="11">
        <f>I8*4</f>
        <v>8168666.666666667</v>
      </c>
      <c r="J11" s="12">
        <f t="shared" si="2"/>
        <v>-5353836.4866666663</v>
      </c>
      <c r="K11" s="10">
        <f t="shared" ref="K11:K17" si="4">0+K10</f>
        <v>13568051</v>
      </c>
      <c r="L11" s="11">
        <f>L8*4</f>
        <v>6336333.333333333</v>
      </c>
      <c r="M11" s="12">
        <f t="shared" si="3"/>
        <v>7231717.666666667</v>
      </c>
    </row>
    <row r="12" spans="1:13" x14ac:dyDescent="0.2">
      <c r="A12" s="9" t="s">
        <v>11</v>
      </c>
      <c r="B12" s="10">
        <f>79127413+B11</f>
        <v>490742322</v>
      </c>
      <c r="C12" s="11">
        <f>C8*5</f>
        <v>481714166.66666663</v>
      </c>
      <c r="D12" s="12">
        <f t="shared" si="0"/>
        <v>9028155.3333333731</v>
      </c>
      <c r="E12" s="13">
        <f>5642928+E11</f>
        <v>34997019</v>
      </c>
      <c r="F12" s="11">
        <f>F8*5</f>
        <v>34404583.333333336</v>
      </c>
      <c r="G12" s="12">
        <f t="shared" si="1"/>
        <v>592435.66666666418</v>
      </c>
      <c r="H12" s="13">
        <f>102559.95+H11</f>
        <v>2917390.1300000004</v>
      </c>
      <c r="I12" s="11">
        <f>I8*5</f>
        <v>10210833.333333334</v>
      </c>
      <c r="J12" s="12">
        <f t="shared" si="2"/>
        <v>-7293443.2033333331</v>
      </c>
      <c r="K12" s="10">
        <f t="shared" si="4"/>
        <v>13568051</v>
      </c>
      <c r="L12" s="11">
        <f>L8*5</f>
        <v>7920416.666666666</v>
      </c>
      <c r="M12" s="12">
        <f t="shared" si="3"/>
        <v>5647634.333333334</v>
      </c>
    </row>
    <row r="13" spans="1:13" x14ac:dyDescent="0.2">
      <c r="A13" s="9" t="s">
        <v>12</v>
      </c>
      <c r="B13" s="10">
        <f>101099590+B12</f>
        <v>591841912</v>
      </c>
      <c r="C13" s="11">
        <f>C8*6</f>
        <v>578057000</v>
      </c>
      <c r="D13" s="12">
        <f t="shared" si="0"/>
        <v>13784912</v>
      </c>
      <c r="E13" s="13">
        <f>7209862+E12</f>
        <v>42206881</v>
      </c>
      <c r="F13" s="11">
        <f>F8*6</f>
        <v>41285500</v>
      </c>
      <c r="G13" s="12">
        <f t="shared" si="1"/>
        <v>921381</v>
      </c>
      <c r="H13" s="13">
        <f>1225026.38+H12</f>
        <v>4142416.5100000002</v>
      </c>
      <c r="I13" s="11">
        <f>I8*6</f>
        <v>12253000</v>
      </c>
      <c r="J13" s="12">
        <f t="shared" si="2"/>
        <v>-8110583.4900000002</v>
      </c>
      <c r="K13" s="10">
        <f t="shared" si="4"/>
        <v>13568051</v>
      </c>
      <c r="L13" s="11">
        <f>L8*6</f>
        <v>9504500</v>
      </c>
      <c r="M13" s="12">
        <f t="shared" si="3"/>
        <v>4063551</v>
      </c>
    </row>
    <row r="14" spans="1:13" x14ac:dyDescent="0.2">
      <c r="A14" s="9" t="s">
        <v>13</v>
      </c>
      <c r="B14" s="10">
        <f>97414057+B13</f>
        <v>689255969</v>
      </c>
      <c r="C14" s="11">
        <f>C8*7</f>
        <v>674399833.33333325</v>
      </c>
      <c r="D14" s="12">
        <f t="shared" si="0"/>
        <v>14856135.666666746</v>
      </c>
      <c r="E14" s="13">
        <f>6947030+E13</f>
        <v>49153911</v>
      </c>
      <c r="F14" s="11">
        <f>F8*7</f>
        <v>48166416.666666672</v>
      </c>
      <c r="G14" s="12">
        <f t="shared" si="1"/>
        <v>987494.33333332837</v>
      </c>
      <c r="H14" s="13">
        <f>1004423.86+H13</f>
        <v>5146840.37</v>
      </c>
      <c r="I14" s="11">
        <f>I8*7</f>
        <v>14295166.666666668</v>
      </c>
      <c r="J14" s="12">
        <f t="shared" si="2"/>
        <v>-9148326.2966666669</v>
      </c>
      <c r="K14" s="10">
        <f t="shared" si="4"/>
        <v>13568051</v>
      </c>
      <c r="L14" s="11">
        <f>L8*7</f>
        <v>11088583.333333332</v>
      </c>
      <c r="M14" s="12">
        <f t="shared" si="3"/>
        <v>2479467.6666666679</v>
      </c>
    </row>
    <row r="15" spans="1:13" x14ac:dyDescent="0.2">
      <c r="A15" s="9" t="s">
        <v>14</v>
      </c>
      <c r="B15" s="10">
        <f>107677103+B14</f>
        <v>796933072</v>
      </c>
      <c r="C15" s="11">
        <f>C8*8</f>
        <v>770742666.66666663</v>
      </c>
      <c r="D15" s="12">
        <f t="shared" si="0"/>
        <v>26190405.333333373</v>
      </c>
      <c r="E15" s="13">
        <f>7678934+E14</f>
        <v>56832845</v>
      </c>
      <c r="F15" s="11">
        <f>F8*8</f>
        <v>55047333.333333336</v>
      </c>
      <c r="G15" s="12">
        <f t="shared" si="1"/>
        <v>1785511.6666666642</v>
      </c>
      <c r="H15" s="13">
        <f>617923.67+H14</f>
        <v>5764764.04</v>
      </c>
      <c r="I15" s="11">
        <f>I8*8</f>
        <v>16337333.333333334</v>
      </c>
      <c r="J15" s="12">
        <f t="shared" si="2"/>
        <v>-10572569.293333333</v>
      </c>
      <c r="K15" s="10">
        <f t="shared" si="4"/>
        <v>13568051</v>
      </c>
      <c r="L15" s="11">
        <f>L8*8</f>
        <v>12672666.666666666</v>
      </c>
      <c r="M15" s="12">
        <f t="shared" si="3"/>
        <v>895384.33333333395</v>
      </c>
    </row>
    <row r="16" spans="1:13" x14ac:dyDescent="0.2">
      <c r="A16" s="9" t="s">
        <v>15</v>
      </c>
      <c r="B16" s="10">
        <f>76978219.23+B15</f>
        <v>873911291.23000002</v>
      </c>
      <c r="C16" s="11">
        <f>C8*9</f>
        <v>867085500</v>
      </c>
      <c r="D16" s="12">
        <f t="shared" si="0"/>
        <v>6825791.2300000191</v>
      </c>
      <c r="E16" s="13">
        <f>2612384+E15</f>
        <v>59445229</v>
      </c>
      <c r="F16" s="11">
        <f>F8*9</f>
        <v>61928250</v>
      </c>
      <c r="G16" s="12">
        <f t="shared" si="1"/>
        <v>-2483021</v>
      </c>
      <c r="H16" s="13">
        <f>4915292.08+H15</f>
        <v>10680056.120000001</v>
      </c>
      <c r="I16" s="11">
        <f>I8*9</f>
        <v>18379500</v>
      </c>
      <c r="J16" s="12">
        <f t="shared" si="2"/>
        <v>-7699443.879999999</v>
      </c>
      <c r="K16" s="10">
        <f t="shared" si="4"/>
        <v>13568051</v>
      </c>
      <c r="L16" s="11">
        <f>L8*9</f>
        <v>14256750</v>
      </c>
      <c r="M16" s="12">
        <f t="shared" si="3"/>
        <v>-688699</v>
      </c>
    </row>
    <row r="17" spans="1:13" x14ac:dyDescent="0.2">
      <c r="A17" s="9" t="s">
        <v>16</v>
      </c>
      <c r="B17" s="10">
        <f>94152475.86+B16</f>
        <v>968063767.09000003</v>
      </c>
      <c r="C17" s="11">
        <f>C8*10</f>
        <v>963428333.33333325</v>
      </c>
      <c r="D17" s="12">
        <f t="shared" si="0"/>
        <v>4635433.7566667795</v>
      </c>
      <c r="E17" s="13">
        <f>5504400+E16</f>
        <v>64949629</v>
      </c>
      <c r="F17" s="11">
        <f>F8*10</f>
        <v>68809166.666666672</v>
      </c>
      <c r="G17" s="12">
        <f t="shared" si="1"/>
        <v>-3859537.6666666716</v>
      </c>
      <c r="H17" s="13">
        <f>1409147.4+H16</f>
        <v>12089203.520000001</v>
      </c>
      <c r="I17" s="11">
        <f>I8*10</f>
        <v>20421666.666666668</v>
      </c>
      <c r="J17" s="12">
        <f t="shared" si="2"/>
        <v>-8332463.1466666665</v>
      </c>
      <c r="K17" s="10">
        <f t="shared" si="4"/>
        <v>13568051</v>
      </c>
      <c r="L17" s="11">
        <f>L8*10</f>
        <v>15840833.333333332</v>
      </c>
      <c r="M17" s="12">
        <f t="shared" si="3"/>
        <v>-2272782.3333333321</v>
      </c>
    </row>
    <row r="18" spans="1:13" x14ac:dyDescent="0.2">
      <c r="A18" s="9" t="s">
        <v>17</v>
      </c>
      <c r="B18" s="10">
        <f>105293106.4+B17</f>
        <v>1073356873.49</v>
      </c>
      <c r="C18" s="11">
        <f>C8*11</f>
        <v>1059771166.6666666</v>
      </c>
      <c r="D18" s="12">
        <f t="shared" si="0"/>
        <v>13585706.823333383</v>
      </c>
      <c r="E18" s="13">
        <f>6699895+E17</f>
        <v>71649524</v>
      </c>
      <c r="F18" s="11">
        <f>F8*11</f>
        <v>75690083.333333343</v>
      </c>
      <c r="G18" s="12">
        <f t="shared" si="1"/>
        <v>-4040559.3333333433</v>
      </c>
      <c r="H18" s="13">
        <f>1697528.67+H17</f>
        <v>13786732.190000001</v>
      </c>
      <c r="I18" s="11">
        <f>I8*11</f>
        <v>22463833.333333336</v>
      </c>
      <c r="J18" s="12">
        <f t="shared" si="2"/>
        <v>-8677101.1433333345</v>
      </c>
      <c r="K18" s="10">
        <f>780512+K17</f>
        <v>14348563</v>
      </c>
      <c r="L18" s="11">
        <f>L8*11</f>
        <v>17424916.666666664</v>
      </c>
      <c r="M18" s="12">
        <f t="shared" si="3"/>
        <v>-3076353.6666666642</v>
      </c>
    </row>
    <row r="19" spans="1:13" ht="13.5" thickBot="1" x14ac:dyDescent="0.25">
      <c r="A19" s="49" t="s">
        <v>18</v>
      </c>
      <c r="B19" s="40">
        <f>97489297.73+B18</f>
        <v>1170846171.22</v>
      </c>
      <c r="C19" s="41">
        <f>C8*12</f>
        <v>1156114000</v>
      </c>
      <c r="D19" s="12">
        <f t="shared" si="0"/>
        <v>14732171.220000029</v>
      </c>
      <c r="E19" s="42">
        <f>6391864.25+E18</f>
        <v>78041388.25</v>
      </c>
      <c r="F19" s="41">
        <f>F8*12</f>
        <v>82571000</v>
      </c>
      <c r="G19" s="12">
        <f t="shared" si="1"/>
        <v>-4529611.75</v>
      </c>
      <c r="H19" s="42">
        <f>8901076.74+H18</f>
        <v>22687808.93</v>
      </c>
      <c r="I19" s="41">
        <f>I8*12</f>
        <v>24506000</v>
      </c>
      <c r="J19" s="12">
        <f t="shared" si="2"/>
        <v>-1818191.0700000003</v>
      </c>
      <c r="K19" s="40">
        <f>6329298.31+K18</f>
        <v>20677861.309999999</v>
      </c>
      <c r="L19" s="41">
        <f>L8*12</f>
        <v>19009000</v>
      </c>
      <c r="M19" s="12">
        <f t="shared" si="3"/>
        <v>1668861.3099999987</v>
      </c>
    </row>
    <row r="20" spans="1:13" ht="13.5" thickBot="1" x14ac:dyDescent="0.25">
      <c r="A20" s="15" t="s">
        <v>19</v>
      </c>
      <c r="B20" s="127">
        <f>B19</f>
        <v>1170846171.22</v>
      </c>
      <c r="C20" s="16">
        <v>1156114000</v>
      </c>
      <c r="D20" s="17"/>
      <c r="E20" s="127">
        <f>E19</f>
        <v>78041388.25</v>
      </c>
      <c r="F20" s="16">
        <v>82571000</v>
      </c>
      <c r="G20" s="18"/>
      <c r="H20" s="127">
        <f>H19</f>
        <v>22687808.93</v>
      </c>
      <c r="I20" s="16">
        <v>24506000</v>
      </c>
      <c r="J20" s="18"/>
      <c r="K20" s="127">
        <f>K19</f>
        <v>20677861.309999999</v>
      </c>
      <c r="L20" s="16">
        <v>19009000</v>
      </c>
      <c r="M20" s="18"/>
    </row>
    <row r="21" spans="1:13" x14ac:dyDescent="0.2">
      <c r="A21" s="6"/>
      <c r="B21" s="7"/>
      <c r="C21" s="7"/>
      <c r="D21" s="7"/>
      <c r="E21" s="7"/>
      <c r="F21" s="7"/>
      <c r="G21" s="7"/>
      <c r="H21" s="6"/>
      <c r="I21" s="7"/>
      <c r="J21" s="6"/>
      <c r="K21" s="6"/>
      <c r="L21" s="7"/>
      <c r="M21" s="6"/>
    </row>
    <row r="22" spans="1:13" x14ac:dyDescent="0.2">
      <c r="A22" s="6"/>
      <c r="B22" s="7"/>
      <c r="C22" s="7"/>
      <c r="D22" s="7"/>
      <c r="E22" s="52"/>
      <c r="F22" s="7"/>
      <c r="G22" s="7"/>
      <c r="H22" s="6"/>
      <c r="I22" s="7"/>
      <c r="J22" s="51"/>
      <c r="K22" s="6"/>
      <c r="L22" s="7"/>
      <c r="M22" s="6"/>
    </row>
    <row r="23" spans="1:13" ht="13.5" thickBot="1" x14ac:dyDescent="0.25">
      <c r="A23" s="19"/>
      <c r="B23" s="7"/>
      <c r="C23" s="20"/>
      <c r="D23" s="7"/>
      <c r="E23" s="7"/>
      <c r="F23" s="7"/>
      <c r="G23" s="7"/>
      <c r="M23" s="63" t="s">
        <v>26</v>
      </c>
    </row>
    <row r="24" spans="1:13" x14ac:dyDescent="0.2">
      <c r="A24" s="524" t="s">
        <v>2</v>
      </c>
      <c r="B24" s="527" t="s">
        <v>33</v>
      </c>
      <c r="C24" s="528"/>
      <c r="D24" s="529"/>
      <c r="E24" s="533" t="s">
        <v>20</v>
      </c>
      <c r="F24" s="534"/>
      <c r="G24" s="535"/>
      <c r="H24" s="543" t="s">
        <v>21</v>
      </c>
      <c r="I24" s="534"/>
      <c r="J24" s="535"/>
      <c r="K24" s="544" t="s">
        <v>22</v>
      </c>
      <c r="L24" s="534"/>
      <c r="M24" s="535"/>
    </row>
    <row r="25" spans="1:13" ht="13.5" thickBot="1" x14ac:dyDescent="0.25">
      <c r="A25" s="525"/>
      <c r="B25" s="530"/>
      <c r="C25" s="531"/>
      <c r="D25" s="532"/>
      <c r="E25" s="536"/>
      <c r="F25" s="537"/>
      <c r="G25" s="538"/>
      <c r="H25" s="536"/>
      <c r="I25" s="537"/>
      <c r="J25" s="538"/>
      <c r="K25" s="536"/>
      <c r="L25" s="537"/>
      <c r="M25" s="538"/>
    </row>
    <row r="26" spans="1:13" ht="12.75" customHeight="1" x14ac:dyDescent="0.2">
      <c r="A26" s="525"/>
      <c r="B26" s="539" t="s">
        <v>23</v>
      </c>
      <c r="C26" s="521" t="s">
        <v>31</v>
      </c>
      <c r="D26" s="517" t="s">
        <v>32</v>
      </c>
      <c r="E26" s="519" t="s">
        <v>24</v>
      </c>
      <c r="F26" s="521" t="s">
        <v>31</v>
      </c>
      <c r="G26" s="517" t="s">
        <v>32</v>
      </c>
      <c r="H26" s="519" t="s">
        <v>25</v>
      </c>
      <c r="I26" s="521" t="s">
        <v>31</v>
      </c>
      <c r="J26" s="517" t="s">
        <v>32</v>
      </c>
      <c r="K26" s="542" t="s">
        <v>19</v>
      </c>
      <c r="L26" s="521" t="s">
        <v>31</v>
      </c>
      <c r="M26" s="517" t="s">
        <v>32</v>
      </c>
    </row>
    <row r="27" spans="1:13" ht="13.5" thickBot="1" x14ac:dyDescent="0.25">
      <c r="A27" s="526"/>
      <c r="B27" s="540"/>
      <c r="C27" s="522"/>
      <c r="D27" s="518"/>
      <c r="E27" s="520"/>
      <c r="F27" s="522"/>
      <c r="G27" s="518"/>
      <c r="H27" s="520"/>
      <c r="I27" s="523"/>
      <c r="J27" s="518"/>
      <c r="K27" s="540"/>
      <c r="L27" s="522"/>
      <c r="M27" s="518"/>
    </row>
    <row r="28" spans="1:13" x14ac:dyDescent="0.2">
      <c r="A28" s="21" t="s">
        <v>7</v>
      </c>
      <c r="B28" s="22">
        <v>10745147</v>
      </c>
      <c r="C28" s="23">
        <f>C40/12</f>
        <v>9160666.666666666</v>
      </c>
      <c r="D28" s="24">
        <f>B28-C28</f>
        <v>1584480.333333334</v>
      </c>
      <c r="E28" s="25">
        <v>202023767</v>
      </c>
      <c r="F28" s="23">
        <f>F40/12</f>
        <v>96511583.333333328</v>
      </c>
      <c r="G28" s="24">
        <f>E28-F28</f>
        <v>105512183.66666667</v>
      </c>
      <c r="H28" s="26">
        <v>228682755</v>
      </c>
      <c r="I28" s="27">
        <v>234843083.33333334</v>
      </c>
      <c r="J28" s="28">
        <f>H28-I28</f>
        <v>-6160328.3333333433</v>
      </c>
      <c r="K28" s="121">
        <f t="shared" ref="K28:K40" si="5">SUM($B8+$E8+$H8+$K8+$B28+$E28+$H28)</f>
        <v>617439950.80999994</v>
      </c>
      <c r="L28" s="27">
        <f>L40/12</f>
        <v>447365333.33333331</v>
      </c>
      <c r="M28" s="29">
        <f>K28-L28</f>
        <v>170074617.47666663</v>
      </c>
    </row>
    <row r="29" spans="1:13" x14ac:dyDescent="0.2">
      <c r="A29" s="30" t="s">
        <v>8</v>
      </c>
      <c r="B29" s="10">
        <f>22771885+B28</f>
        <v>33517032</v>
      </c>
      <c r="C29" s="11">
        <f>C28*2</f>
        <v>18321333.333333332</v>
      </c>
      <c r="D29" s="12">
        <f>B29-C29</f>
        <v>15195698.666666668</v>
      </c>
      <c r="E29" s="31">
        <f>7578195+E28</f>
        <v>209601962</v>
      </c>
      <c r="F29" s="11">
        <f>F28*2</f>
        <v>193023166.66666666</v>
      </c>
      <c r="G29" s="12">
        <f>E29-F29</f>
        <v>16578795.333333343</v>
      </c>
      <c r="H29" s="32">
        <f>417718035+H28</f>
        <v>646400790</v>
      </c>
      <c r="I29" s="14">
        <v>469686166.66666669</v>
      </c>
      <c r="J29" s="12">
        <f>H29-I29</f>
        <v>176714623.33333331</v>
      </c>
      <c r="K29" s="122">
        <f t="shared" si="5"/>
        <v>1182447905.8199999</v>
      </c>
      <c r="L29" s="14">
        <f>L28*2</f>
        <v>894730666.66666663</v>
      </c>
      <c r="M29" s="12">
        <f>SUM(K28+K29)-L29</f>
        <v>905157189.96333325</v>
      </c>
    </row>
    <row r="30" spans="1:13" x14ac:dyDescent="0.2">
      <c r="A30" s="30" t="s">
        <v>9</v>
      </c>
      <c r="B30" s="10">
        <f>6988087+B29</f>
        <v>40505119</v>
      </c>
      <c r="C30" s="14">
        <f>C28*3</f>
        <v>27482000</v>
      </c>
      <c r="D30" s="12">
        <f>SUM(B28+B29+B30)-C30</f>
        <v>57285298</v>
      </c>
      <c r="E30" s="33">
        <f>226146984+E29</f>
        <v>435748946</v>
      </c>
      <c r="F30" s="14">
        <f>F28*3</f>
        <v>289534750</v>
      </c>
      <c r="G30" s="12">
        <f>E30-F30</f>
        <v>146214196</v>
      </c>
      <c r="H30" s="32">
        <f>0+H29</f>
        <v>646400790</v>
      </c>
      <c r="I30" s="14">
        <v>704529250</v>
      </c>
      <c r="J30" s="12">
        <f t="shared" ref="J30:J39" si="6">H30-I30</f>
        <v>-58128460</v>
      </c>
      <c r="K30" s="123">
        <f t="shared" si="5"/>
        <v>1507289287.1800001</v>
      </c>
      <c r="L30" s="14">
        <f>L28*3</f>
        <v>1342096000</v>
      </c>
      <c r="M30" s="12">
        <f>SUM(K28+K29+K30)-L30</f>
        <v>1965081143.8099999</v>
      </c>
    </row>
    <row r="31" spans="1:13" x14ac:dyDescent="0.2">
      <c r="A31" s="30" t="s">
        <v>10</v>
      </c>
      <c r="B31" s="10">
        <f>7354122+B30</f>
        <v>47859241</v>
      </c>
      <c r="C31" s="11">
        <f>C28*4</f>
        <v>36642666.666666664</v>
      </c>
      <c r="D31" s="12">
        <f>SUM(B28+B29+B30+B31)-C31</f>
        <v>95983872.333333343</v>
      </c>
      <c r="E31" s="31">
        <f>59643445+E30</f>
        <v>495392391</v>
      </c>
      <c r="F31" s="11">
        <f>F28*4</f>
        <v>386046333.33333331</v>
      </c>
      <c r="G31" s="12">
        <f>E31-F31</f>
        <v>109346057.66666669</v>
      </c>
      <c r="H31" s="34">
        <f>123202863+H30</f>
        <v>769603653</v>
      </c>
      <c r="I31" s="11">
        <v>939372333.33333337</v>
      </c>
      <c r="J31" s="12">
        <f t="shared" si="6"/>
        <v>-169768680.33333337</v>
      </c>
      <c r="K31" s="124">
        <f t="shared" si="5"/>
        <v>1770207166.1800001</v>
      </c>
      <c r="L31" s="11">
        <f>L28*4</f>
        <v>1789461333.3333333</v>
      </c>
      <c r="M31" s="12">
        <f>SUM(K28+K29+K30+K31)-L31</f>
        <v>3287922976.6566668</v>
      </c>
    </row>
    <row r="32" spans="1:13" x14ac:dyDescent="0.2">
      <c r="A32" s="30" t="s">
        <v>11</v>
      </c>
      <c r="B32" s="10">
        <f>9911803+B31</f>
        <v>57771044</v>
      </c>
      <c r="C32" s="11">
        <f>C28*5</f>
        <v>45803333.333333328</v>
      </c>
      <c r="D32" s="12">
        <f>SUM(B28+B29+B30+B31+B32)-C32</f>
        <v>144594249.66666669</v>
      </c>
      <c r="E32" s="33">
        <f>0+E31</f>
        <v>495392391</v>
      </c>
      <c r="F32" s="11">
        <f>F28*5</f>
        <v>482557916.66666663</v>
      </c>
      <c r="G32" s="12">
        <f t="shared" ref="G32:G39" si="7">E32-F32</f>
        <v>12834474.333333373</v>
      </c>
      <c r="H32" s="34">
        <f>389946359+H31</f>
        <v>1159550012</v>
      </c>
      <c r="I32" s="11">
        <v>1174215416.6666667</v>
      </c>
      <c r="J32" s="12">
        <f t="shared" si="6"/>
        <v>-14665404.666666746</v>
      </c>
      <c r="K32" s="124">
        <f t="shared" si="5"/>
        <v>2254938229.1300001</v>
      </c>
      <c r="L32" s="11">
        <f>L28*5</f>
        <v>2236826666.6666665</v>
      </c>
      <c r="M32" s="12">
        <f>SUM(K28+K29+K30+K31+K32)-L32</f>
        <v>5095495872.4533329</v>
      </c>
    </row>
    <row r="33" spans="1:13" x14ac:dyDescent="0.2">
      <c r="A33" s="30" t="s">
        <v>12</v>
      </c>
      <c r="B33" s="10">
        <f>8327154+B32</f>
        <v>66098198</v>
      </c>
      <c r="C33" s="11">
        <f>C28*6</f>
        <v>54964000</v>
      </c>
      <c r="D33" s="12">
        <f>SUM(B28+B29+B30+B31+B32+B33)-C33</f>
        <v>201531781</v>
      </c>
      <c r="E33" s="31">
        <f>232695558+E32</f>
        <v>728087949</v>
      </c>
      <c r="F33" s="11">
        <f>F28*6</f>
        <v>579069500</v>
      </c>
      <c r="G33" s="12">
        <f t="shared" si="7"/>
        <v>149018449</v>
      </c>
      <c r="H33" s="34">
        <f>43988692+H32</f>
        <v>1203538704</v>
      </c>
      <c r="I33" s="11">
        <v>1409058500</v>
      </c>
      <c r="J33" s="12">
        <f t="shared" si="6"/>
        <v>-205519796</v>
      </c>
      <c r="K33" s="124">
        <f t="shared" si="5"/>
        <v>2649484111.5100002</v>
      </c>
      <c r="L33" s="11">
        <f>L28*6</f>
        <v>2684192000</v>
      </c>
      <c r="M33" s="12">
        <f>SUM(K28+K29+K30+K31+K32+K33)-L33</f>
        <v>7297614650.6300011</v>
      </c>
    </row>
    <row r="34" spans="1:13" x14ac:dyDescent="0.2">
      <c r="A34" s="30" t="s">
        <v>13</v>
      </c>
      <c r="B34" s="10">
        <f>11293521+B33</f>
        <v>77391719</v>
      </c>
      <c r="C34" s="11">
        <f>C28*7</f>
        <v>64124666.666666664</v>
      </c>
      <c r="D34" s="12">
        <f>SUM(B28+B29+B30+B31+B32+B33+B34)-C34</f>
        <v>269762833.33333331</v>
      </c>
      <c r="E34" s="33">
        <f>252597778+E33</f>
        <v>980685727</v>
      </c>
      <c r="F34" s="11">
        <f>F28*7</f>
        <v>675581083.33333325</v>
      </c>
      <c r="G34" s="12">
        <f t="shared" si="7"/>
        <v>305104643.66666675</v>
      </c>
      <c r="H34" s="34">
        <f>212410565+H33</f>
        <v>1415949269</v>
      </c>
      <c r="I34" s="11">
        <v>1643901583.3333335</v>
      </c>
      <c r="J34" s="12">
        <f t="shared" si="6"/>
        <v>-227952314.33333349</v>
      </c>
      <c r="K34" s="124">
        <f t="shared" si="5"/>
        <v>3231151486.3699999</v>
      </c>
      <c r="L34" s="11">
        <f>L28*7</f>
        <v>3131557333.333333</v>
      </c>
      <c r="M34" s="12">
        <f>SUM(K28+K29+K30+K31+K32+K33+K34)-L34</f>
        <v>10081400803.666668</v>
      </c>
    </row>
    <row r="35" spans="1:13" x14ac:dyDescent="0.2">
      <c r="A35" s="30" t="s">
        <v>14</v>
      </c>
      <c r="B35" s="10">
        <f>12996167+B34</f>
        <v>90387886</v>
      </c>
      <c r="C35" s="11">
        <f>C28*8</f>
        <v>73285333.333333328</v>
      </c>
      <c r="D35" s="12">
        <f>SUM(B28+B29+B30+B31+B32+B33+B34+B35)-C35</f>
        <v>350990052.66666669</v>
      </c>
      <c r="E35" s="31">
        <f>0+E34</f>
        <v>980685727</v>
      </c>
      <c r="F35" s="11">
        <f>F28*8</f>
        <v>772092666.66666663</v>
      </c>
      <c r="G35" s="12">
        <f t="shared" si="7"/>
        <v>208593060.33333337</v>
      </c>
      <c r="H35" s="34">
        <f>398176280+H34</f>
        <v>1814125549</v>
      </c>
      <c r="I35" s="11">
        <v>1878744666.6666667</v>
      </c>
      <c r="J35" s="12">
        <f t="shared" si="6"/>
        <v>-64619117.666666746</v>
      </c>
      <c r="K35" s="124">
        <f t="shared" si="5"/>
        <v>3758297894.04</v>
      </c>
      <c r="L35" s="11">
        <f>L28*8</f>
        <v>3578922666.6666665</v>
      </c>
      <c r="M35" s="12">
        <f>SUM(K28+K29+K30+K31+K32+K33+K34+K35)-L35</f>
        <v>13392333364.373335</v>
      </c>
    </row>
    <row r="36" spans="1:13" x14ac:dyDescent="0.2">
      <c r="A36" s="30" t="s">
        <v>15</v>
      </c>
      <c r="B36" s="10">
        <f>10742448+B35</f>
        <v>101130334</v>
      </c>
      <c r="C36" s="11">
        <f>C28*9</f>
        <v>82446000</v>
      </c>
      <c r="D36" s="12">
        <f>SUM(B28+B29+B30+B31+B32+B33+B34+B35+B36)-C36</f>
        <v>442959720</v>
      </c>
      <c r="E36" s="33">
        <f>92887000+E35</f>
        <v>1073572727</v>
      </c>
      <c r="F36" s="11">
        <f>F28*9</f>
        <v>868604250</v>
      </c>
      <c r="G36" s="12">
        <f t="shared" si="7"/>
        <v>204968477</v>
      </c>
      <c r="H36" s="34">
        <f>57432142+H35</f>
        <v>1871557691</v>
      </c>
      <c r="I36" s="11">
        <v>2113587750</v>
      </c>
      <c r="J36" s="12">
        <f t="shared" si="6"/>
        <v>-242030059</v>
      </c>
      <c r="K36" s="124">
        <f t="shared" si="5"/>
        <v>4003865379.3499999</v>
      </c>
      <c r="L36" s="11">
        <f>L28*9</f>
        <v>4026288000</v>
      </c>
      <c r="M36" s="12">
        <f>SUM(K28+K29+K30+K31+K32+K33+K34+K35+K36)-L36</f>
        <v>16948833410.389999</v>
      </c>
    </row>
    <row r="37" spans="1:13" x14ac:dyDescent="0.2">
      <c r="A37" s="30" t="s">
        <v>16</v>
      </c>
      <c r="B37" s="10">
        <f>9404543+B36</f>
        <v>110534877</v>
      </c>
      <c r="C37" s="11">
        <f>C28*10</f>
        <v>91606666.666666657</v>
      </c>
      <c r="D37" s="12">
        <f>SUM(B28+B29+B30+B31+B32+B33+B34+B35+B36+B37)-C37</f>
        <v>544333930.33333337</v>
      </c>
      <c r="E37" s="31">
        <f>129734221+E36</f>
        <v>1203306948</v>
      </c>
      <c r="F37" s="11">
        <f>F28*10</f>
        <v>965115833.33333325</v>
      </c>
      <c r="G37" s="12">
        <f t="shared" si="7"/>
        <v>238191114.66666675</v>
      </c>
      <c r="H37" s="34">
        <f>192866528+H36</f>
        <v>2064424219</v>
      </c>
      <c r="I37" s="11">
        <v>2348430833.3333335</v>
      </c>
      <c r="J37" s="12">
        <f t="shared" si="6"/>
        <v>-284006614.33333349</v>
      </c>
      <c r="K37" s="124">
        <f t="shared" si="5"/>
        <v>4436936694.6100006</v>
      </c>
      <c r="L37" s="11">
        <f>L28*10</f>
        <v>4473653333.333333</v>
      </c>
      <c r="M37" s="12">
        <f>SUM(K28+K29+K30+K31+K32+K33+K34+K35+K36+K37)-L37</f>
        <v>20938404771.666668</v>
      </c>
    </row>
    <row r="38" spans="1:13" x14ac:dyDescent="0.2">
      <c r="A38" s="30" t="s">
        <v>17</v>
      </c>
      <c r="B38" s="10">
        <f>11025622+B37</f>
        <v>121560499</v>
      </c>
      <c r="C38" s="11">
        <f>C28*11</f>
        <v>100767333.33333333</v>
      </c>
      <c r="D38" s="12">
        <f>SUM(B28+B29+B30+B31+B32+B33+B34+B35+B36+B37+B38)-C38</f>
        <v>656733762.66666663</v>
      </c>
      <c r="E38" s="31">
        <f>10989402+E37</f>
        <v>1214296350</v>
      </c>
      <c r="F38" s="11">
        <f>F28*11</f>
        <v>1061627416.6666666</v>
      </c>
      <c r="G38" s="12">
        <f t="shared" si="7"/>
        <v>152668933.33333337</v>
      </c>
      <c r="H38" s="34">
        <f>397869934+H37</f>
        <v>2462294153</v>
      </c>
      <c r="I38" s="11">
        <v>2583273916.666667</v>
      </c>
      <c r="J38" s="12">
        <f t="shared" si="6"/>
        <v>-120979763.66666698</v>
      </c>
      <c r="K38" s="124">
        <f t="shared" si="5"/>
        <v>4971292694.6800003</v>
      </c>
      <c r="L38" s="11">
        <f>L28*11</f>
        <v>4921018666.666666</v>
      </c>
      <c r="M38" s="12">
        <f>SUM(K28+K29+K30+K31+K32+K33+K34+K35+K36+K37+K38)-L38</f>
        <v>25462332133.013336</v>
      </c>
    </row>
    <row r="39" spans="1:13" ht="13.5" thickBot="1" x14ac:dyDescent="0.25">
      <c r="A39" s="50" t="s">
        <v>18</v>
      </c>
      <c r="B39" s="43">
        <f>7898766.11+B38</f>
        <v>129459265.11</v>
      </c>
      <c r="C39" s="41">
        <f>C28*12</f>
        <v>109928000</v>
      </c>
      <c r="D39" s="12">
        <f>SUM(B28+B29+B30+B31+B32+B33+B34+B35+B36+B37+B38+B39)-C39</f>
        <v>777032361.11000001</v>
      </c>
      <c r="E39" s="44">
        <f>56764421.39+E38</f>
        <v>1271060771.3900001</v>
      </c>
      <c r="F39" s="41">
        <f>F28*12</f>
        <v>1158139000</v>
      </c>
      <c r="G39" s="65">
        <f t="shared" si="7"/>
        <v>112921771.3900001</v>
      </c>
      <c r="H39" s="46">
        <f>102867119+H38</f>
        <v>2565161272</v>
      </c>
      <c r="I39" s="41">
        <v>2818117000</v>
      </c>
      <c r="J39" s="12">
        <f t="shared" si="6"/>
        <v>-252955728</v>
      </c>
      <c r="K39" s="125">
        <f t="shared" si="5"/>
        <v>5257934538.21</v>
      </c>
      <c r="L39" s="47">
        <f>L28*12</f>
        <v>5368384000</v>
      </c>
      <c r="M39" s="48">
        <f>SUM(K28+K29+K30+K31+K32+K33+K34+K35+K36+K37+K38+K39)-L39</f>
        <v>30272901337.889999</v>
      </c>
    </row>
    <row r="40" spans="1:13" ht="13.5" thickBot="1" x14ac:dyDescent="0.25">
      <c r="A40" s="15" t="s">
        <v>19</v>
      </c>
      <c r="B40" s="119">
        <f>B39</f>
        <v>129459265.11</v>
      </c>
      <c r="C40" s="16">
        <v>109928000</v>
      </c>
      <c r="D40" s="18"/>
      <c r="E40" s="117">
        <f>E39</f>
        <v>1271060771.3900001</v>
      </c>
      <c r="F40" s="35">
        <v>1158139000</v>
      </c>
      <c r="G40" s="120"/>
      <c r="H40" s="118">
        <f>H39</f>
        <v>2565161272</v>
      </c>
      <c r="I40" s="16">
        <v>2818117000</v>
      </c>
      <c r="J40" s="37"/>
      <c r="K40" s="126">
        <f t="shared" si="5"/>
        <v>5257934538.21</v>
      </c>
      <c r="L40" s="38">
        <f>SUM(F20+I20+L20+N20+F40+I40+C20+C40)</f>
        <v>5368384000</v>
      </c>
      <c r="M40" s="39"/>
    </row>
    <row r="41" spans="1:13" x14ac:dyDescent="0.2">
      <c r="A41" s="19"/>
      <c r="B41" s="7"/>
      <c r="C41" s="7"/>
      <c r="D41" s="7"/>
      <c r="E41" s="7"/>
      <c r="F41" s="7"/>
      <c r="G41" s="7"/>
      <c r="H41" s="6"/>
      <c r="I41" s="7"/>
      <c r="J41" s="7"/>
      <c r="K41" s="7"/>
      <c r="L41" s="7"/>
      <c r="M41" s="7"/>
    </row>
    <row r="42" spans="1:13" x14ac:dyDescent="0.2">
      <c r="A42" s="515"/>
      <c r="B42" s="516"/>
      <c r="C42" s="516"/>
      <c r="D42" s="516"/>
      <c r="E42" s="516"/>
      <c r="F42" s="516"/>
      <c r="G42" s="516"/>
      <c r="H42" s="516"/>
      <c r="I42" s="516"/>
      <c r="J42" s="516"/>
      <c r="K42" s="516"/>
      <c r="L42" s="516"/>
      <c r="M42" s="516"/>
    </row>
    <row r="43" spans="1:13" x14ac:dyDescent="0.2">
      <c r="K43" s="53"/>
      <c r="L43" s="54"/>
    </row>
    <row r="44" spans="1:13" x14ac:dyDescent="0.2">
      <c r="K44" s="53"/>
    </row>
    <row r="45" spans="1:13" x14ac:dyDescent="0.2">
      <c r="K45" s="53"/>
    </row>
    <row r="46" spans="1:13" x14ac:dyDescent="0.2">
      <c r="K46" s="53"/>
    </row>
    <row r="48" spans="1:13" x14ac:dyDescent="0.2">
      <c r="K48" s="55"/>
    </row>
  </sheetData>
  <mergeCells count="37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H6:H7"/>
    <mergeCell ref="I6:I7"/>
    <mergeCell ref="J6:J7"/>
    <mergeCell ref="J26:J27"/>
    <mergeCell ref="K26:K27"/>
    <mergeCell ref="H24:J25"/>
    <mergeCell ref="K24:M25"/>
    <mergeCell ref="L26:L27"/>
    <mergeCell ref="M26:M27"/>
    <mergeCell ref="A42:M42"/>
    <mergeCell ref="D26:D27"/>
    <mergeCell ref="E26:E27"/>
    <mergeCell ref="F26:F27"/>
    <mergeCell ref="G26:G27"/>
    <mergeCell ref="H26:H27"/>
    <mergeCell ref="I26:I27"/>
    <mergeCell ref="A24:A27"/>
    <mergeCell ref="B24:D25"/>
    <mergeCell ref="E24:G25"/>
    <mergeCell ref="B26:B27"/>
    <mergeCell ref="C26:C2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4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0F1AB-FD27-46F3-BBF3-02FDED848C3A}">
  <sheetPr>
    <tabColor rgb="FF000000"/>
  </sheetPr>
  <dimension ref="A1:S76"/>
  <sheetViews>
    <sheetView showGridLines="0" view="pageBreakPreview" topLeftCell="A54" zoomScale="160" zoomScaleNormal="160" zoomScaleSheetLayoutView="160" workbookViewId="0">
      <selection sqref="A1:M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6" width="9.140625" style="1"/>
    <col min="17" max="17" width="13.140625" style="1" customWidth="1"/>
    <col min="18" max="19" width="9.140625" style="1"/>
    <col min="20" max="20" width="3.7109375" style="1" customWidth="1"/>
    <col min="21" max="16384" width="9.140625" style="1"/>
  </cols>
  <sheetData>
    <row r="1" spans="1:19" ht="28.5" x14ac:dyDescent="0.45">
      <c r="A1" s="656" t="s">
        <v>163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451"/>
      <c r="Q1" s="451"/>
      <c r="R1" s="452"/>
      <c r="S1" s="452"/>
    </row>
    <row r="2" spans="1:19" ht="20.25" x14ac:dyDescent="0.3">
      <c r="A2" s="587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37" spans="1:19" x14ac:dyDescent="0.2">
      <c r="I37" s="61" t="s">
        <v>35</v>
      </c>
    </row>
    <row r="38" spans="1:19" ht="28.5" x14ac:dyDescent="0.45">
      <c r="A38" s="656" t="s">
        <v>172</v>
      </c>
      <c r="B38" s="592"/>
      <c r="C38" s="592"/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452"/>
      <c r="Q38" s="452"/>
      <c r="R38" s="452"/>
      <c r="S38" s="452"/>
    </row>
    <row r="39" spans="1:19" ht="20.25" x14ac:dyDescent="0.3">
      <c r="A39" s="587"/>
      <c r="B39" s="592"/>
      <c r="C39" s="592"/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/>
      <c r="Q39"/>
      <c r="R39"/>
      <c r="S39"/>
    </row>
    <row r="40" spans="1:19" ht="12.75" customHeight="1" x14ac:dyDescent="0.2"/>
    <row r="61" spans="11:19" x14ac:dyDescent="0.2">
      <c r="K61" s="632"/>
      <c r="L61" s="633"/>
      <c r="M61" s="633"/>
      <c r="N61" s="633"/>
      <c r="O61" s="633"/>
      <c r="P61" s="633"/>
      <c r="Q61" s="633"/>
      <c r="R61" s="633"/>
      <c r="S61" s="633"/>
    </row>
    <row r="76" spans="1:11" x14ac:dyDescent="0.2">
      <c r="A76" s="684"/>
      <c r="B76" s="684"/>
      <c r="C76" s="684"/>
      <c r="D76" s="684"/>
      <c r="E76" s="684"/>
      <c r="F76" s="684"/>
      <c r="G76" s="684"/>
      <c r="H76" s="684"/>
      <c r="I76" s="684"/>
      <c r="J76" s="684"/>
      <c r="K76" s="684"/>
    </row>
  </sheetData>
  <mergeCells count="6">
    <mergeCell ref="A76:K76"/>
    <mergeCell ref="A1:O1"/>
    <mergeCell ref="A2:O2"/>
    <mergeCell ref="A38:O38"/>
    <mergeCell ref="A39:O39"/>
    <mergeCell ref="K61:S61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A5BE6-70CF-4B9D-B06F-2EED022D16BB}">
  <sheetPr>
    <tabColor rgb="FF000000"/>
    <pageSetUpPr fitToPage="1"/>
  </sheetPr>
  <dimension ref="A1:S43"/>
  <sheetViews>
    <sheetView showGridLines="0" topLeftCell="A19" zoomScale="130" zoomScaleNormal="130" zoomScaleSheetLayoutView="130" workbookViewId="0">
      <pane xSplit="1" topLeftCell="B1" activePane="topRight" state="frozen"/>
      <selection sqref="A1:M1"/>
      <selection pane="topRight" sqref="A1:M1"/>
    </sheetView>
  </sheetViews>
  <sheetFormatPr defaultColWidth="9.140625" defaultRowHeight="12.75" x14ac:dyDescent="0.2"/>
  <cols>
    <col min="1" max="1" width="7.7109375" style="66" customWidth="1"/>
    <col min="2" max="4" width="11.140625" style="66" customWidth="1"/>
    <col min="5" max="5" width="12.7109375" style="212" customWidth="1"/>
    <col min="6" max="8" width="11.140625" style="66" customWidth="1"/>
    <col min="9" max="9" width="12.7109375" style="212" customWidth="1"/>
    <col min="10" max="12" width="11.140625" style="66" customWidth="1"/>
    <col min="13" max="13" width="12.7109375" style="212" customWidth="1"/>
    <col min="14" max="16" width="11.140625" style="66" customWidth="1"/>
    <col min="17" max="17" width="12.7109375" style="212" customWidth="1"/>
    <col min="18" max="18" width="9.7109375" style="66" customWidth="1"/>
    <col min="19" max="19" width="12.42578125" style="66" customWidth="1"/>
    <col min="20" max="21" width="9.7109375" style="66" customWidth="1"/>
    <col min="22" max="22" width="11" style="66" customWidth="1"/>
    <col min="23" max="16384" width="9.140625" style="66"/>
  </cols>
  <sheetData>
    <row r="1" spans="1:19" ht="20.25" x14ac:dyDescent="0.3">
      <c r="A1" s="585" t="s">
        <v>151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</row>
    <row r="2" spans="1:19" ht="20.25" x14ac:dyDescent="0.3">
      <c r="A2" s="587" t="s">
        <v>65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</row>
    <row r="3" spans="1:19" ht="15.95" customHeight="1" x14ac:dyDescent="0.3">
      <c r="A3" s="462"/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</row>
    <row r="4" spans="1:19" ht="15.95" customHeight="1" x14ac:dyDescent="0.2">
      <c r="A4" s="666"/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</row>
    <row r="5" spans="1:19" ht="13.5" customHeight="1" thickBot="1" x14ac:dyDescent="0.25">
      <c r="B5" s="67"/>
      <c r="C5" s="68"/>
      <c r="D5" s="68"/>
      <c r="E5" s="203"/>
      <c r="F5" s="69"/>
      <c r="G5" s="69"/>
      <c r="H5" s="71"/>
      <c r="I5" s="204"/>
      <c r="J5" s="70"/>
      <c r="K5" s="70"/>
      <c r="L5" s="71"/>
      <c r="M5" s="204"/>
      <c r="N5" s="71"/>
      <c r="O5" s="71"/>
      <c r="P5" s="72"/>
      <c r="Q5" s="381" t="s">
        <v>26</v>
      </c>
    </row>
    <row r="6" spans="1:19" ht="14.45" customHeight="1" x14ac:dyDescent="0.2">
      <c r="A6" s="660" t="s">
        <v>2</v>
      </c>
      <c r="B6" s="712" t="s">
        <v>166</v>
      </c>
      <c r="C6" s="713"/>
      <c r="D6" s="713"/>
      <c r="E6" s="714"/>
      <c r="F6" s="715" t="s">
        <v>167</v>
      </c>
      <c r="G6" s="716"/>
      <c r="H6" s="716"/>
      <c r="I6" s="717"/>
      <c r="J6" s="703" t="s">
        <v>168</v>
      </c>
      <c r="K6" s="696"/>
      <c r="L6" s="696"/>
      <c r="M6" s="697"/>
      <c r="N6" s="718" t="s">
        <v>169</v>
      </c>
      <c r="O6" s="696"/>
      <c r="P6" s="696"/>
      <c r="Q6" s="697"/>
    </row>
    <row r="7" spans="1:19" ht="14.45" customHeight="1" thickBot="1" x14ac:dyDescent="0.25">
      <c r="A7" s="661"/>
      <c r="B7" s="699"/>
      <c r="C7" s="699"/>
      <c r="D7" s="699"/>
      <c r="E7" s="700"/>
      <c r="F7" s="698"/>
      <c r="G7" s="699"/>
      <c r="H7" s="699"/>
      <c r="I7" s="700"/>
      <c r="J7" s="698"/>
      <c r="K7" s="699"/>
      <c r="L7" s="699"/>
      <c r="M7" s="700"/>
      <c r="N7" s="698"/>
      <c r="O7" s="699"/>
      <c r="P7" s="699"/>
      <c r="Q7" s="700"/>
    </row>
    <row r="8" spans="1:19" ht="13.5" customHeight="1" x14ac:dyDescent="0.2">
      <c r="A8" s="661"/>
      <c r="B8" s="206"/>
      <c r="C8" s="206"/>
      <c r="D8" s="207"/>
      <c r="E8" s="710" t="s">
        <v>152</v>
      </c>
      <c r="F8" s="206"/>
      <c r="G8" s="206"/>
      <c r="H8" s="207"/>
      <c r="I8" s="710" t="s">
        <v>152</v>
      </c>
      <c r="J8" s="206"/>
      <c r="K8" s="206"/>
      <c r="L8" s="207"/>
      <c r="M8" s="710" t="s">
        <v>152</v>
      </c>
      <c r="N8" s="206"/>
      <c r="O8" s="206"/>
      <c r="P8" s="207"/>
      <c r="Q8" s="710" t="s">
        <v>152</v>
      </c>
    </row>
    <row r="9" spans="1:19" ht="13.5" customHeight="1" thickBot="1" x14ac:dyDescent="0.25">
      <c r="A9" s="662"/>
      <c r="B9" s="210" t="s">
        <v>115</v>
      </c>
      <c r="C9" s="210" t="s">
        <v>129</v>
      </c>
      <c r="D9" s="211" t="s">
        <v>142</v>
      </c>
      <c r="E9" s="711"/>
      <c r="F9" s="210" t="s">
        <v>115</v>
      </c>
      <c r="G9" s="210" t="s">
        <v>129</v>
      </c>
      <c r="H9" s="211" t="s">
        <v>142</v>
      </c>
      <c r="I9" s="711"/>
      <c r="J9" s="210" t="s">
        <v>115</v>
      </c>
      <c r="K9" s="210" t="s">
        <v>129</v>
      </c>
      <c r="L9" s="211" t="s">
        <v>142</v>
      </c>
      <c r="M9" s="711"/>
      <c r="N9" s="210" t="s">
        <v>115</v>
      </c>
      <c r="O9" s="210" t="s">
        <v>129</v>
      </c>
      <c r="P9" s="211" t="s">
        <v>142</v>
      </c>
      <c r="Q9" s="711"/>
    </row>
    <row r="10" spans="1:19" ht="17.100000000000001" customHeight="1" x14ac:dyDescent="0.2">
      <c r="A10" s="386" t="s">
        <v>7</v>
      </c>
      <c r="B10" s="387">
        <v>172935264.22</v>
      </c>
      <c r="C10" s="387">
        <v>183037499.32999998</v>
      </c>
      <c r="D10" s="387">
        <v>199772286.56</v>
      </c>
      <c r="E10" s="388">
        <f>53918317.72+87061614.39</f>
        <v>140979932.11000001</v>
      </c>
      <c r="F10" s="389">
        <v>11820493.530000001</v>
      </c>
      <c r="G10" s="389">
        <v>12493363.52</v>
      </c>
      <c r="H10" s="387">
        <v>12899930.41</v>
      </c>
      <c r="I10" s="388">
        <f>3345285.8+5401614.91</f>
        <v>8746900.7100000009</v>
      </c>
      <c r="J10" s="387">
        <v>4799314.12</v>
      </c>
      <c r="K10" s="387">
        <v>3520356.96</v>
      </c>
      <c r="L10" s="387">
        <v>4166693.01</v>
      </c>
      <c r="M10" s="388">
        <f>5768114.66+1608744.38</f>
        <v>7376859.04</v>
      </c>
      <c r="N10" s="387">
        <v>13739311.300000001</v>
      </c>
      <c r="O10" s="387">
        <v>14595793.41</v>
      </c>
      <c r="P10" s="387">
        <v>17357372.329999998</v>
      </c>
      <c r="Q10" s="388">
        <f>13773556+6291226.27</f>
        <v>20064782.27</v>
      </c>
      <c r="S10" s="212"/>
    </row>
    <row r="11" spans="1:19" ht="17.100000000000001" customHeight="1" x14ac:dyDescent="0.2">
      <c r="A11" s="390" t="s">
        <v>8</v>
      </c>
      <c r="B11" s="391">
        <v>162742178.75</v>
      </c>
      <c r="C11" s="391">
        <v>169215452.51999998</v>
      </c>
      <c r="D11" s="391">
        <v>120056607.46000001</v>
      </c>
      <c r="E11" s="392">
        <f>50346325.25+54727169.91</f>
        <v>105073495.16</v>
      </c>
      <c r="F11" s="391">
        <v>11123774.470000001</v>
      </c>
      <c r="G11" s="391">
        <v>11549929.32</v>
      </c>
      <c r="H11" s="391">
        <v>7505830.4900000002</v>
      </c>
      <c r="I11" s="392">
        <f>3123666.64+3395469.91</f>
        <v>6519136.5500000007</v>
      </c>
      <c r="J11" s="391">
        <v>2574252.66</v>
      </c>
      <c r="K11" s="391">
        <v>2430649.3200000003</v>
      </c>
      <c r="L11" s="391">
        <v>4109856.08</v>
      </c>
      <c r="M11" s="392">
        <f>1917597.48+1668402.35</f>
        <v>3585999.83</v>
      </c>
      <c r="N11" s="391">
        <v>15807596.77</v>
      </c>
      <c r="O11" s="391">
        <v>17133882.859999999</v>
      </c>
      <c r="P11" s="391">
        <v>18777302.259999998</v>
      </c>
      <c r="Q11" s="392">
        <f>17085616.8+6554302.58</f>
        <v>23639919.380000003</v>
      </c>
    </row>
    <row r="12" spans="1:19" ht="17.100000000000001" customHeight="1" x14ac:dyDescent="0.2">
      <c r="A12" s="390" t="s">
        <v>9</v>
      </c>
      <c r="B12" s="391">
        <v>137450893.87</v>
      </c>
      <c r="C12" s="391">
        <v>155784483.44</v>
      </c>
      <c r="D12" s="391">
        <v>81467731.420000002</v>
      </c>
      <c r="E12" s="392">
        <f>32816873.24+45429965.46</f>
        <v>78246838.700000003</v>
      </c>
      <c r="F12" s="391">
        <v>9395061.2599999998</v>
      </c>
      <c r="G12" s="391">
        <v>10633188.300000001</v>
      </c>
      <c r="H12" s="391">
        <v>5093288.88</v>
      </c>
      <c r="I12" s="392">
        <f>2036076.53+2818638.01</f>
        <v>4854714.54</v>
      </c>
      <c r="J12" s="391">
        <v>5549093.5300000003</v>
      </c>
      <c r="K12" s="391">
        <v>7287228.959999999</v>
      </c>
      <c r="L12" s="391">
        <v>13080477.879999999</v>
      </c>
      <c r="M12" s="392">
        <f>4193448.17+9708561.76</f>
        <v>13902009.93</v>
      </c>
      <c r="N12" s="391">
        <v>9805916.5700000003</v>
      </c>
      <c r="O12" s="391">
        <v>11805854.23</v>
      </c>
      <c r="P12" s="391">
        <v>13058543.49</v>
      </c>
      <c r="Q12" s="392">
        <f>8822039.71+7352982.24</f>
        <v>16175021.950000001</v>
      </c>
    </row>
    <row r="13" spans="1:19" ht="17.100000000000001" customHeight="1" x14ac:dyDescent="0.2">
      <c r="A13" s="390" t="s">
        <v>10</v>
      </c>
      <c r="B13" s="391">
        <v>125226722.01000001</v>
      </c>
      <c r="C13" s="391">
        <v>129099977.53</v>
      </c>
      <c r="D13" s="391">
        <v>24764866.880000003</v>
      </c>
      <c r="E13" s="392">
        <f>29153853.82+52115077.27</f>
        <v>81268931.090000004</v>
      </c>
      <c r="F13" s="391">
        <v>8559513.0999999996</v>
      </c>
      <c r="G13" s="391">
        <v>8811817.0600000005</v>
      </c>
      <c r="H13" s="391">
        <v>1548277.08</v>
      </c>
      <c r="I13" s="392">
        <f>1808809.64+3233406.35</f>
        <v>5042215.99</v>
      </c>
      <c r="J13" s="391">
        <v>0</v>
      </c>
      <c r="K13" s="391">
        <v>0</v>
      </c>
      <c r="L13" s="391">
        <v>0</v>
      </c>
      <c r="M13" s="392">
        <v>0</v>
      </c>
      <c r="N13" s="391">
        <v>11536330.440000001</v>
      </c>
      <c r="O13" s="391">
        <v>11355332.850000001</v>
      </c>
      <c r="P13" s="391">
        <v>15549369.440000001</v>
      </c>
      <c r="Q13" s="392">
        <f>10298535.99+8612133.42</f>
        <v>18910669.41</v>
      </c>
    </row>
    <row r="14" spans="1:19" ht="17.100000000000001" customHeight="1" x14ac:dyDescent="0.2">
      <c r="A14" s="390" t="s">
        <v>11</v>
      </c>
      <c r="B14" s="391">
        <v>153095265.41999999</v>
      </c>
      <c r="C14" s="391">
        <v>32351760.940000001</v>
      </c>
      <c r="D14" s="391">
        <v>58778892.370000005</v>
      </c>
      <c r="E14" s="392">
        <f>24814559.92+70277129.1</f>
        <v>95091689.019999996</v>
      </c>
      <c r="F14" s="391">
        <v>10464387.359999999</v>
      </c>
      <c r="G14" s="391">
        <v>2208194.0299999998</v>
      </c>
      <c r="H14" s="391">
        <v>3674803.15</v>
      </c>
      <c r="I14" s="392">
        <f>1539584.31+4360245.14</f>
        <v>5899829.4499999993</v>
      </c>
      <c r="J14" s="391">
        <v>0</v>
      </c>
      <c r="K14" s="391">
        <v>0</v>
      </c>
      <c r="L14" s="391">
        <v>0</v>
      </c>
      <c r="M14" s="392">
        <v>0</v>
      </c>
      <c r="N14" s="391">
        <v>13350575.880000001</v>
      </c>
      <c r="O14" s="391">
        <v>12679765.41</v>
      </c>
      <c r="P14" s="391">
        <v>15704892.880000001</v>
      </c>
      <c r="Q14" s="392">
        <f>11989830.42+9420658.66</f>
        <v>21410489.079999998</v>
      </c>
    </row>
    <row r="15" spans="1:19" ht="17.100000000000001" customHeight="1" x14ac:dyDescent="0.2">
      <c r="A15" s="390" t="s">
        <v>12</v>
      </c>
      <c r="B15" s="391">
        <v>169072269</v>
      </c>
      <c r="C15" s="391">
        <v>111308479.09999999</v>
      </c>
      <c r="D15" s="391">
        <v>104183829.91999999</v>
      </c>
      <c r="E15" s="392">
        <f>48962837.25+79150109.15</f>
        <v>128112946.40000001</v>
      </c>
      <c r="F15" s="391">
        <v>11556449.620000001</v>
      </c>
      <c r="G15" s="391">
        <v>7597444.8200000003</v>
      </c>
      <c r="H15" s="391">
        <v>6513478.8100000005</v>
      </c>
      <c r="I15" s="392">
        <f>3037830.05+4910756.7</f>
        <v>7948586.75</v>
      </c>
      <c r="J15" s="391">
        <v>0</v>
      </c>
      <c r="K15" s="391">
        <v>0</v>
      </c>
      <c r="L15" s="391">
        <v>0</v>
      </c>
      <c r="M15" s="392">
        <v>0</v>
      </c>
      <c r="N15" s="391">
        <v>15776535.300000001</v>
      </c>
      <c r="O15" s="391">
        <v>14568580.41</v>
      </c>
      <c r="P15" s="391">
        <v>21698908.879999999</v>
      </c>
      <c r="Q15" s="392">
        <f>14133157.29+9305486</f>
        <v>23438643.289999999</v>
      </c>
    </row>
    <row r="16" spans="1:19" ht="17.100000000000001" customHeight="1" x14ac:dyDescent="0.2">
      <c r="A16" s="378" t="s">
        <v>13</v>
      </c>
      <c r="B16" s="391">
        <v>174455225.23000002</v>
      </c>
      <c r="C16" s="391">
        <v>163054146.72</v>
      </c>
      <c r="D16" s="391">
        <v>123514873.94</v>
      </c>
      <c r="E16" s="392">
        <f>47725010.04+86044355.83</f>
        <v>133769365.87</v>
      </c>
      <c r="F16" s="391">
        <v>11924386.120000001</v>
      </c>
      <c r="G16" s="391">
        <v>11129384.689999999</v>
      </c>
      <c r="H16" s="391">
        <v>7722038.1699999999</v>
      </c>
      <c r="I16" s="392">
        <f>2961030.79+5338500.47</f>
        <v>8299531.2599999998</v>
      </c>
      <c r="J16" s="391">
        <v>10901788.299999999</v>
      </c>
      <c r="K16" s="391">
        <v>0</v>
      </c>
      <c r="L16" s="391">
        <v>11743751.530000001</v>
      </c>
      <c r="M16" s="392">
        <f>24556720.67+19714428.22</f>
        <v>44271148.890000001</v>
      </c>
      <c r="N16" s="391">
        <v>19939905.75</v>
      </c>
      <c r="O16" s="391">
        <v>17117856</v>
      </c>
      <c r="P16" s="391">
        <v>23528111.800000001</v>
      </c>
      <c r="Q16" s="392">
        <f>19333128.64+10847456.02</f>
        <v>30180584.66</v>
      </c>
    </row>
    <row r="17" spans="1:17" ht="17.100000000000001" customHeight="1" x14ac:dyDescent="0.2">
      <c r="A17" s="378" t="s">
        <v>14</v>
      </c>
      <c r="B17" s="391">
        <v>171540245.94</v>
      </c>
      <c r="C17" s="391">
        <v>169050264.44999999</v>
      </c>
      <c r="D17" s="391">
        <v>117374735.00999999</v>
      </c>
      <c r="E17" s="392">
        <f>44205800.97+77373244.36</f>
        <v>121579045.33</v>
      </c>
      <c r="F17" s="391">
        <v>11725141.050000001</v>
      </c>
      <c r="G17" s="391">
        <v>11538654.280000001</v>
      </c>
      <c r="H17" s="391">
        <v>7338162.2599999998</v>
      </c>
      <c r="I17" s="392">
        <f>2742686.46+4800513.61</f>
        <v>7543200.0700000003</v>
      </c>
      <c r="J17" s="391">
        <v>0</v>
      </c>
      <c r="K17" s="391">
        <v>0</v>
      </c>
      <c r="L17" s="391">
        <v>0</v>
      </c>
      <c r="M17" s="392">
        <v>0</v>
      </c>
      <c r="N17" s="391">
        <v>18563627.170000002</v>
      </c>
      <c r="O17" s="391">
        <v>17133098.050000001</v>
      </c>
      <c r="P17" s="391">
        <v>20084625.649999999</v>
      </c>
      <c r="Q17" s="392">
        <f>20637279.46+11510860.28</f>
        <v>32148139.740000002</v>
      </c>
    </row>
    <row r="18" spans="1:17" ht="17.100000000000001" customHeight="1" x14ac:dyDescent="0.2">
      <c r="A18" s="390" t="s">
        <v>15</v>
      </c>
      <c r="B18" s="391">
        <v>140926367.56</v>
      </c>
      <c r="C18" s="391">
        <v>161231565.73000002</v>
      </c>
      <c r="D18" s="391">
        <v>115941248.59</v>
      </c>
      <c r="E18" s="392">
        <f>48008081.76+82525222.58</f>
        <v>130533304.34</v>
      </c>
      <c r="F18" s="391">
        <v>9503883.3100000005</v>
      </c>
      <c r="G18" s="391">
        <v>11312600.539999999</v>
      </c>
      <c r="H18" s="391">
        <v>6831343.5500000007</v>
      </c>
      <c r="I18" s="392">
        <f>2978593.57+4687596.08</f>
        <v>7666189.6500000004</v>
      </c>
      <c r="J18" s="391">
        <v>6822741.6900000004</v>
      </c>
      <c r="K18" s="391">
        <v>0</v>
      </c>
      <c r="L18" s="391">
        <v>15352783.66</v>
      </c>
      <c r="M18" s="392">
        <f>1382783.8+19404843.93</f>
        <v>20787627.73</v>
      </c>
      <c r="N18" s="391">
        <v>17924787.390000001</v>
      </c>
      <c r="O18" s="391">
        <v>19373537.73</v>
      </c>
      <c r="P18" s="391">
        <v>26823685.18</v>
      </c>
      <c r="Q18" s="392">
        <f>18016039.7+12493738.08</f>
        <v>30509777.780000001</v>
      </c>
    </row>
    <row r="19" spans="1:17" ht="17.100000000000001" customHeight="1" x14ac:dyDescent="0.2">
      <c r="A19" s="378" t="s">
        <v>16</v>
      </c>
      <c r="B19" s="391">
        <v>164870870.55000001</v>
      </c>
      <c r="C19" s="391">
        <v>171642001.13999999</v>
      </c>
      <c r="D19" s="391">
        <v>123191068.21000001</v>
      </c>
      <c r="E19" s="392">
        <f>45730676.89+77540503.84</f>
        <v>123271180.73</v>
      </c>
      <c r="F19" s="391">
        <v>11253386.559999999</v>
      </c>
      <c r="G19" s="391">
        <v>11759394.560000001</v>
      </c>
      <c r="H19" s="391">
        <v>7643215.7199999997</v>
      </c>
      <c r="I19" s="392">
        <f>2816705.29+4775978.98</f>
        <v>7592684.2700000005</v>
      </c>
      <c r="J19" s="391">
        <v>4899392.57</v>
      </c>
      <c r="K19" s="391">
        <v>1426552.5499999998</v>
      </c>
      <c r="L19" s="391">
        <v>7086933.3799999999</v>
      </c>
      <c r="M19" s="392">
        <f>5523696.93+1972276.45</f>
        <v>7495973.3799999999</v>
      </c>
      <c r="N19" s="391">
        <v>17460546.59</v>
      </c>
      <c r="O19" s="391">
        <v>16838983.699999999</v>
      </c>
      <c r="P19" s="391">
        <v>21147482.490000002</v>
      </c>
      <c r="Q19" s="392">
        <f>16071475.66+7709294.35</f>
        <v>23780770.009999998</v>
      </c>
    </row>
    <row r="20" spans="1:17" ht="17.100000000000001" customHeight="1" x14ac:dyDescent="0.2">
      <c r="A20" s="378" t="s">
        <v>17</v>
      </c>
      <c r="B20" s="391">
        <v>168051440.00999999</v>
      </c>
      <c r="C20" s="391">
        <v>169532040.53</v>
      </c>
      <c r="D20" s="391">
        <v>119585440.28999999</v>
      </c>
      <c r="E20" s="392">
        <f>49130798.43+83828889.95</f>
        <v>132959688.38</v>
      </c>
      <c r="F20" s="391">
        <v>11470478.73</v>
      </c>
      <c r="G20" s="391">
        <v>11614838.719999999</v>
      </c>
      <c r="H20" s="391">
        <v>7419509.6799999997</v>
      </c>
      <c r="I20" s="392">
        <f>3026130.18+5163301.67</f>
        <v>8189431.8499999996</v>
      </c>
      <c r="J20" s="391">
        <v>2179052.2599999998</v>
      </c>
      <c r="K20" s="391">
        <v>1455413.3199999998</v>
      </c>
      <c r="L20" s="391">
        <v>5747141.8700000001</v>
      </c>
      <c r="M20" s="392">
        <f>3473137.86+2076383.48</f>
        <v>5549521.3399999999</v>
      </c>
      <c r="N20" s="391">
        <v>15138282.709999999</v>
      </c>
      <c r="O20" s="391">
        <v>15844088.949999999</v>
      </c>
      <c r="P20" s="391">
        <v>18179981.629999999</v>
      </c>
      <c r="Q20" s="392">
        <f>17325840.56+8844620.92</f>
        <v>26170461.479999997</v>
      </c>
    </row>
    <row r="21" spans="1:17" ht="17.100000000000001" customHeight="1" thickBot="1" x14ac:dyDescent="0.25">
      <c r="A21" s="393" t="s">
        <v>18</v>
      </c>
      <c r="B21" s="394">
        <v>192813282.94999999</v>
      </c>
      <c r="C21" s="394">
        <v>197886372.27000001</v>
      </c>
      <c r="D21" s="394">
        <v>150284193.12</v>
      </c>
      <c r="E21" s="395">
        <f>46020285.64+115199016.57</f>
        <v>161219302.20999998</v>
      </c>
      <c r="F21" s="396">
        <v>13160617.18</v>
      </c>
      <c r="G21" s="394">
        <v>13557427.190000001</v>
      </c>
      <c r="H21" s="394">
        <v>9324170.3999999985</v>
      </c>
      <c r="I21" s="395">
        <f>2834543.33+7095492.69</f>
        <v>9930036.0199999996</v>
      </c>
      <c r="J21" s="394">
        <v>16551132.719999999</v>
      </c>
      <c r="K21" s="394">
        <v>13984254.18</v>
      </c>
      <c r="L21" s="394">
        <v>28058764.800000001</v>
      </c>
      <c r="M21" s="395">
        <f>1832430.3+28714780.3</f>
        <v>30547210.600000001</v>
      </c>
      <c r="N21" s="394">
        <v>13998090.649999999</v>
      </c>
      <c r="O21" s="394">
        <v>15190228.58</v>
      </c>
      <c r="P21" s="394">
        <v>19816724.700000003</v>
      </c>
      <c r="Q21" s="395">
        <f>16368226.94+14003449.12</f>
        <v>30371676.059999999</v>
      </c>
    </row>
    <row r="22" spans="1:17" ht="21" customHeight="1" thickBot="1" x14ac:dyDescent="0.25">
      <c r="A22" s="397" t="s">
        <v>19</v>
      </c>
      <c r="B22" s="398">
        <f t="shared" ref="B22" si="0">SUM(B10:B21)</f>
        <v>1933180025.51</v>
      </c>
      <c r="C22" s="399">
        <f>SUM(C10:C21)</f>
        <v>1813194043.7</v>
      </c>
      <c r="D22" s="400">
        <f>SUM(D10:D21)</f>
        <v>1338915773.77</v>
      </c>
      <c r="E22" s="401">
        <f>SUM(E10:E21)</f>
        <v>1432105719.3400002</v>
      </c>
      <c r="F22" s="399">
        <f t="shared" ref="F22" si="1">SUM(F10:F21)</f>
        <v>131957572.29000002</v>
      </c>
      <c r="G22" s="399">
        <f>SUM(G10:G21)</f>
        <v>124206237.03</v>
      </c>
      <c r="H22" s="400">
        <f t="shared" ref="H22:Q22" si="2">SUM(H10:H21)</f>
        <v>83514048.599999994</v>
      </c>
      <c r="I22" s="401">
        <f t="shared" si="2"/>
        <v>88232457.109999985</v>
      </c>
      <c r="J22" s="402">
        <f t="shared" si="2"/>
        <v>54276767.850000001</v>
      </c>
      <c r="K22" s="399">
        <f t="shared" si="2"/>
        <v>30104455.289999999</v>
      </c>
      <c r="L22" s="400">
        <f t="shared" si="2"/>
        <v>89346402.209999993</v>
      </c>
      <c r="M22" s="401">
        <f t="shared" si="2"/>
        <v>133516350.74000001</v>
      </c>
      <c r="N22" s="399">
        <f t="shared" si="2"/>
        <v>183041506.52000001</v>
      </c>
      <c r="O22" s="399">
        <f t="shared" si="2"/>
        <v>183637002.17999998</v>
      </c>
      <c r="P22" s="400">
        <f t="shared" si="2"/>
        <v>231727000.73000002</v>
      </c>
      <c r="Q22" s="401">
        <f t="shared" si="2"/>
        <v>296800935.10999995</v>
      </c>
    </row>
    <row r="23" spans="1:17" ht="15.95" customHeight="1" x14ac:dyDescent="0.2">
      <c r="A23" s="71"/>
      <c r="B23" s="73"/>
      <c r="C23" s="73"/>
      <c r="D23" s="213"/>
      <c r="E23" s="91"/>
      <c r="F23" s="73"/>
      <c r="G23" s="73"/>
      <c r="H23" s="73"/>
      <c r="I23" s="213"/>
      <c r="J23" s="71"/>
      <c r="K23" s="73"/>
      <c r="L23" s="71"/>
      <c r="M23" s="91"/>
      <c r="N23" s="71"/>
      <c r="O23" s="73"/>
      <c r="P23" s="213"/>
    </row>
    <row r="24" spans="1:17" ht="15.95" customHeight="1" x14ac:dyDescent="0.2">
      <c r="A24" s="71"/>
      <c r="B24" s="73"/>
      <c r="C24" s="73"/>
      <c r="D24" s="213"/>
      <c r="E24" s="91"/>
      <c r="F24" s="73"/>
      <c r="G24" s="73"/>
      <c r="H24" s="73"/>
      <c r="I24" s="213"/>
      <c r="J24" s="71"/>
      <c r="K24" s="73"/>
      <c r="L24" s="71"/>
      <c r="M24" s="91"/>
      <c r="N24" s="71"/>
      <c r="O24" s="73"/>
      <c r="P24" s="213"/>
    </row>
    <row r="25" spans="1:17" ht="15.95" customHeight="1" thickBot="1" x14ac:dyDescent="0.25">
      <c r="A25" s="92"/>
      <c r="B25" s="73"/>
      <c r="C25" s="93"/>
      <c r="D25" s="213"/>
      <c r="E25" s="213"/>
      <c r="F25" s="73"/>
      <c r="G25" s="73"/>
      <c r="H25" s="73"/>
      <c r="I25" s="213"/>
      <c r="M25" s="381" t="s">
        <v>26</v>
      </c>
      <c r="P25" s="205"/>
    </row>
    <row r="26" spans="1:17" ht="14.45" customHeight="1" x14ac:dyDescent="0.2">
      <c r="A26" s="660" t="s">
        <v>2</v>
      </c>
      <c r="B26" s="702" t="s">
        <v>170</v>
      </c>
      <c r="C26" s="696"/>
      <c r="D26" s="696"/>
      <c r="E26" s="697"/>
      <c r="F26" s="703" t="s">
        <v>171</v>
      </c>
      <c r="G26" s="696"/>
      <c r="H26" s="696"/>
      <c r="I26" s="697"/>
      <c r="J26" s="704" t="s">
        <v>68</v>
      </c>
      <c r="K26" s="705"/>
      <c r="L26" s="705"/>
      <c r="M26" s="706"/>
      <c r="Q26" s="66"/>
    </row>
    <row r="27" spans="1:17" ht="14.45" customHeight="1" thickBot="1" x14ac:dyDescent="0.25">
      <c r="A27" s="661"/>
      <c r="B27" s="699"/>
      <c r="C27" s="699"/>
      <c r="D27" s="699"/>
      <c r="E27" s="700"/>
      <c r="F27" s="698"/>
      <c r="G27" s="699"/>
      <c r="H27" s="699"/>
      <c r="I27" s="700"/>
      <c r="J27" s="707"/>
      <c r="K27" s="708"/>
      <c r="L27" s="708"/>
      <c r="M27" s="709"/>
      <c r="Q27" s="66"/>
    </row>
    <row r="28" spans="1:17" ht="13.5" customHeight="1" x14ac:dyDescent="0.2">
      <c r="A28" s="661"/>
      <c r="B28" s="206"/>
      <c r="C28" s="206"/>
      <c r="D28" s="207"/>
      <c r="E28" s="710" t="s">
        <v>152</v>
      </c>
      <c r="F28" s="206"/>
      <c r="G28" s="206"/>
      <c r="H28" s="207"/>
      <c r="I28" s="710" t="s">
        <v>152</v>
      </c>
      <c r="J28" s="214"/>
      <c r="K28" s="404"/>
      <c r="L28" s="404"/>
      <c r="M28" s="710" t="s">
        <v>152</v>
      </c>
      <c r="Q28" s="66"/>
    </row>
    <row r="29" spans="1:17" ht="13.5" customHeight="1" thickBot="1" x14ac:dyDescent="0.25">
      <c r="A29" s="662"/>
      <c r="B29" s="210" t="s">
        <v>115</v>
      </c>
      <c r="C29" s="210" t="s">
        <v>129</v>
      </c>
      <c r="D29" s="211" t="s">
        <v>142</v>
      </c>
      <c r="E29" s="711"/>
      <c r="F29" s="210" t="s">
        <v>115</v>
      </c>
      <c r="G29" s="210" t="s">
        <v>129</v>
      </c>
      <c r="H29" s="211" t="s">
        <v>142</v>
      </c>
      <c r="I29" s="711"/>
      <c r="J29" s="215" t="s">
        <v>115</v>
      </c>
      <c r="K29" s="215" t="s">
        <v>129</v>
      </c>
      <c r="L29" s="215" t="s">
        <v>142</v>
      </c>
      <c r="M29" s="711"/>
      <c r="Q29" s="66"/>
    </row>
    <row r="30" spans="1:17" ht="17.100000000000001" customHeight="1" x14ac:dyDescent="0.2">
      <c r="A30" s="386" t="s">
        <v>7</v>
      </c>
      <c r="B30" s="387">
        <v>106863469.45</v>
      </c>
      <c r="C30" s="387">
        <v>36309188.350000001</v>
      </c>
      <c r="D30" s="387">
        <v>81834799.829999998</v>
      </c>
      <c r="E30" s="388">
        <f>39796642.64+6213422.46</f>
        <v>46010065.100000001</v>
      </c>
      <c r="F30" s="387">
        <v>333202310.63999999</v>
      </c>
      <c r="G30" s="387">
        <v>341127569.38</v>
      </c>
      <c r="H30" s="387">
        <v>339298940.76999998</v>
      </c>
      <c r="I30" s="388">
        <f>374689883.13+26051008.69</f>
        <v>400740891.81999999</v>
      </c>
      <c r="J30" s="405">
        <f>B10+F10+J10+N10+B30+F30</f>
        <v>643360163.25999999</v>
      </c>
      <c r="K30" s="406">
        <f>C10+G10+K10+O10+C30+G30</f>
        <v>591083770.95000005</v>
      </c>
      <c r="L30" s="406">
        <f>D10+H10+L10+P10+D30+H30</f>
        <v>655330022.90999997</v>
      </c>
      <c r="M30" s="388">
        <f>E10+I10+M10+Q10+E30+I30</f>
        <v>623919431.04999995</v>
      </c>
      <c r="O30" s="412"/>
      <c r="Q30" s="66"/>
    </row>
    <row r="31" spans="1:17" ht="17.100000000000001" customHeight="1" x14ac:dyDescent="0.2">
      <c r="A31" s="390" t="s">
        <v>8</v>
      </c>
      <c r="B31" s="391">
        <v>10119942.49</v>
      </c>
      <c r="C31" s="391">
        <v>14521245.08</v>
      </c>
      <c r="D31" s="391">
        <v>12199505.42</v>
      </c>
      <c r="E31" s="392">
        <f>8628399.93+7607312.79</f>
        <v>16235712.719999999</v>
      </c>
      <c r="F31" s="391">
        <v>393778986.61000001</v>
      </c>
      <c r="G31" s="391">
        <v>420214346.32000005</v>
      </c>
      <c r="H31" s="391">
        <v>443556322.52000004</v>
      </c>
      <c r="I31" s="392">
        <f>473189180.59+18722383.21</f>
        <v>491911563.79999995</v>
      </c>
      <c r="J31" s="348">
        <f t="shared" ref="J31:M41" si="3">B11+F11+J11+N11+B31+F31</f>
        <v>596146731.75</v>
      </c>
      <c r="K31" s="406">
        <f t="shared" si="3"/>
        <v>635065505.42000008</v>
      </c>
      <c r="L31" s="406">
        <f t="shared" si="3"/>
        <v>606205424.23000002</v>
      </c>
      <c r="M31" s="388">
        <f t="shared" si="3"/>
        <v>646965827.43999994</v>
      </c>
      <c r="O31" s="412"/>
      <c r="Q31" s="66"/>
    </row>
    <row r="32" spans="1:17" ht="17.100000000000001" customHeight="1" x14ac:dyDescent="0.2">
      <c r="A32" s="390" t="s">
        <v>9</v>
      </c>
      <c r="B32" s="391">
        <v>288451976.89000005</v>
      </c>
      <c r="C32" s="391">
        <v>303860392.41999996</v>
      </c>
      <c r="D32" s="391">
        <v>314342749.03000003</v>
      </c>
      <c r="E32" s="392">
        <f>8810570.05+316938469.28</f>
        <v>325749039.32999998</v>
      </c>
      <c r="F32" s="391">
        <v>181375220.12</v>
      </c>
      <c r="G32" s="391">
        <v>218822493.73000002</v>
      </c>
      <c r="H32" s="391">
        <v>172465589.19</v>
      </c>
      <c r="I32" s="392">
        <f>192778943.05+34193226.79</f>
        <v>226972169.84</v>
      </c>
      <c r="J32" s="348">
        <f t="shared" si="3"/>
        <v>632028162.24000001</v>
      </c>
      <c r="K32" s="406">
        <f t="shared" si="3"/>
        <v>708193641.07999992</v>
      </c>
      <c r="L32" s="406">
        <f t="shared" si="3"/>
        <v>599508379.8900001</v>
      </c>
      <c r="M32" s="388">
        <f t="shared" si="3"/>
        <v>665899794.28999996</v>
      </c>
      <c r="O32" s="412"/>
      <c r="Q32" s="66"/>
    </row>
    <row r="33" spans="1:17" ht="17.100000000000001" customHeight="1" x14ac:dyDescent="0.2">
      <c r="A33" s="390" t="s">
        <v>10</v>
      </c>
      <c r="B33" s="391">
        <v>94060417.739999995</v>
      </c>
      <c r="C33" s="391">
        <v>52740666.170000002</v>
      </c>
      <c r="D33" s="391">
        <v>86677429.63000001</v>
      </c>
      <c r="E33" s="392">
        <f>71290247.72+15063416.13</f>
        <v>86353663.849999994</v>
      </c>
      <c r="F33" s="391">
        <v>240426184.47</v>
      </c>
      <c r="G33" s="391">
        <v>219029944.34999999</v>
      </c>
      <c r="H33" s="391">
        <v>261685164.47</v>
      </c>
      <c r="I33" s="392">
        <f>327354774.51+23064275.6</f>
        <v>350419050.11000001</v>
      </c>
      <c r="J33" s="348">
        <f t="shared" si="3"/>
        <v>479809167.75999999</v>
      </c>
      <c r="K33" s="406">
        <f t="shared" si="3"/>
        <v>421037737.96000004</v>
      </c>
      <c r="L33" s="406">
        <f t="shared" si="3"/>
        <v>390225107.5</v>
      </c>
      <c r="M33" s="388">
        <f t="shared" si="3"/>
        <v>541994530.45000005</v>
      </c>
      <c r="O33" s="412"/>
      <c r="Q33" s="66"/>
    </row>
    <row r="34" spans="1:17" ht="17.100000000000001" customHeight="1" x14ac:dyDescent="0.2">
      <c r="A34" s="390" t="s">
        <v>11</v>
      </c>
      <c r="B34" s="391">
        <v>6764056.2300000004</v>
      </c>
      <c r="C34" s="391">
        <v>0</v>
      </c>
      <c r="D34" s="391">
        <v>14648015.859999999</v>
      </c>
      <c r="E34" s="392">
        <f>22588097.83+22240565.96</f>
        <v>44828663.789999999</v>
      </c>
      <c r="F34" s="391">
        <v>391408753.73000002</v>
      </c>
      <c r="G34" s="391">
        <v>315610937.76999998</v>
      </c>
      <c r="H34" s="391">
        <v>434703525.30000001</v>
      </c>
      <c r="I34" s="392">
        <f>513341493.84+24973352.31</f>
        <v>538314846.14999998</v>
      </c>
      <c r="J34" s="348">
        <f t="shared" si="3"/>
        <v>575083038.62</v>
      </c>
      <c r="K34" s="406">
        <f t="shared" si="3"/>
        <v>362850658.14999998</v>
      </c>
      <c r="L34" s="406">
        <f t="shared" si="3"/>
        <v>527510129.56</v>
      </c>
      <c r="M34" s="388">
        <f t="shared" si="3"/>
        <v>705545517.49000001</v>
      </c>
      <c r="O34" s="412"/>
      <c r="Q34" s="66"/>
    </row>
    <row r="35" spans="1:17" ht="17.100000000000001" customHeight="1" x14ac:dyDescent="0.2">
      <c r="A35" s="390" t="s">
        <v>12</v>
      </c>
      <c r="B35" s="391">
        <v>243399573.40000001</v>
      </c>
      <c r="C35" s="391">
        <v>127269360.92</v>
      </c>
      <c r="D35" s="391">
        <v>363365952.23000002</v>
      </c>
      <c r="E35" s="392">
        <f>14952209.66+339135637.57</f>
        <v>354087847.23000002</v>
      </c>
      <c r="F35" s="391">
        <v>285714824.88</v>
      </c>
      <c r="G35" s="391">
        <v>207283989.04000002</v>
      </c>
      <c r="H35" s="391">
        <v>310635630.85000002</v>
      </c>
      <c r="I35" s="392">
        <f>324228727.79+27946637.99</f>
        <v>352175365.78000003</v>
      </c>
      <c r="J35" s="348">
        <f t="shared" si="3"/>
        <v>725519652.20000005</v>
      </c>
      <c r="K35" s="406">
        <f t="shared" si="3"/>
        <v>468027854.29000002</v>
      </c>
      <c r="L35" s="406">
        <f t="shared" si="3"/>
        <v>806397800.69000006</v>
      </c>
      <c r="M35" s="388">
        <f t="shared" si="3"/>
        <v>865763389.45000005</v>
      </c>
      <c r="O35" s="412"/>
      <c r="Q35" s="66"/>
    </row>
    <row r="36" spans="1:17" ht="17.100000000000001" customHeight="1" x14ac:dyDescent="0.2">
      <c r="A36" s="378" t="s">
        <v>13</v>
      </c>
      <c r="B36" s="391">
        <v>357348357.19</v>
      </c>
      <c r="C36" s="391">
        <v>233375384.70999998</v>
      </c>
      <c r="D36" s="391">
        <v>413459856.82999998</v>
      </c>
      <c r="E36" s="392">
        <f>391111532.65+158018727.01</f>
        <v>549130259.65999997</v>
      </c>
      <c r="F36" s="391">
        <v>312578565.65000004</v>
      </c>
      <c r="G36" s="391">
        <v>296444964.03999996</v>
      </c>
      <c r="H36" s="391">
        <v>374235468.61000001</v>
      </c>
      <c r="I36" s="392">
        <f>425768673.91+33606908.72</f>
        <v>459375582.63</v>
      </c>
      <c r="J36" s="348">
        <f t="shared" si="3"/>
        <v>887148228.24000001</v>
      </c>
      <c r="K36" s="406">
        <f t="shared" si="3"/>
        <v>721121736.15999997</v>
      </c>
      <c r="L36" s="406">
        <f t="shared" si="3"/>
        <v>954204100.88</v>
      </c>
      <c r="M36" s="388">
        <f t="shared" si="3"/>
        <v>1225026472.9699998</v>
      </c>
      <c r="O36" s="412"/>
      <c r="Q36" s="66"/>
    </row>
    <row r="37" spans="1:17" ht="17.100000000000001" customHeight="1" x14ac:dyDescent="0.2">
      <c r="A37" s="378" t="s">
        <v>14</v>
      </c>
      <c r="B37" s="391">
        <v>0</v>
      </c>
      <c r="C37" s="391">
        <v>0</v>
      </c>
      <c r="D37" s="391">
        <v>0</v>
      </c>
      <c r="E37" s="392">
        <v>0</v>
      </c>
      <c r="F37" s="391">
        <v>391164278.40999997</v>
      </c>
      <c r="G37" s="391">
        <v>405900212.11000001</v>
      </c>
      <c r="H37" s="391">
        <v>470903444.30000001</v>
      </c>
      <c r="I37" s="392">
        <f>479513242.64+37250245.23</f>
        <v>516763487.87</v>
      </c>
      <c r="J37" s="348">
        <f t="shared" si="3"/>
        <v>592993292.56999993</v>
      </c>
      <c r="K37" s="406">
        <f t="shared" si="3"/>
        <v>603622228.88999999</v>
      </c>
      <c r="L37" s="406">
        <f t="shared" si="3"/>
        <v>615700967.22000003</v>
      </c>
      <c r="M37" s="388">
        <f t="shared" si="3"/>
        <v>678033873.00999999</v>
      </c>
      <c r="Q37" s="66"/>
    </row>
    <row r="38" spans="1:17" ht="17.100000000000001" customHeight="1" x14ac:dyDescent="0.2">
      <c r="A38" s="390" t="s">
        <v>15</v>
      </c>
      <c r="B38" s="391">
        <v>157121127.28</v>
      </c>
      <c r="C38" s="391">
        <v>251701214.80000001</v>
      </c>
      <c r="D38" s="391">
        <v>263994552.93000001</v>
      </c>
      <c r="E38" s="392">
        <f>348363871.2</f>
        <v>348363871.19999999</v>
      </c>
      <c r="F38" s="391">
        <v>261499518.94999999</v>
      </c>
      <c r="G38" s="391">
        <v>287264617.94</v>
      </c>
      <c r="H38" s="391">
        <v>287100700.80000001</v>
      </c>
      <c r="I38" s="392">
        <f>296376259.77+38349089.18</f>
        <v>334725348.94999999</v>
      </c>
      <c r="J38" s="348">
        <f t="shared" si="3"/>
        <v>593798426.18000007</v>
      </c>
      <c r="K38" s="406">
        <f t="shared" si="3"/>
        <v>730883536.74000001</v>
      </c>
      <c r="L38" s="406">
        <f t="shared" si="3"/>
        <v>716044314.71000004</v>
      </c>
      <c r="M38" s="388">
        <f t="shared" si="3"/>
        <v>872586119.6500001</v>
      </c>
      <c r="Q38" s="66"/>
    </row>
    <row r="39" spans="1:17" ht="17.100000000000001" customHeight="1" x14ac:dyDescent="0.2">
      <c r="A39" s="378" t="s">
        <v>16</v>
      </c>
      <c r="B39" s="391">
        <v>145196803.95999998</v>
      </c>
      <c r="C39" s="391">
        <v>59149397.939999998</v>
      </c>
      <c r="D39" s="391">
        <v>60516881.009999998</v>
      </c>
      <c r="E39" s="392">
        <f>56297602.03+9576345.85</f>
        <v>65873947.880000003</v>
      </c>
      <c r="F39" s="391">
        <v>275772676.23000002</v>
      </c>
      <c r="G39" s="391">
        <v>292502785.63</v>
      </c>
      <c r="H39" s="391">
        <v>345527238.18000001</v>
      </c>
      <c r="I39" s="392">
        <f>387665015.41+29931646.84</f>
        <v>417596662.25</v>
      </c>
      <c r="J39" s="348">
        <f t="shared" si="3"/>
        <v>619453676.46000004</v>
      </c>
      <c r="K39" s="406">
        <f t="shared" si="3"/>
        <v>553319115.51999998</v>
      </c>
      <c r="L39" s="406">
        <f t="shared" si="3"/>
        <v>565112818.99000001</v>
      </c>
      <c r="M39" s="388">
        <f t="shared" si="3"/>
        <v>645611218.51999998</v>
      </c>
      <c r="Q39" s="66"/>
    </row>
    <row r="40" spans="1:17" ht="17.100000000000001" customHeight="1" x14ac:dyDescent="0.2">
      <c r="A40" s="378" t="s">
        <v>17</v>
      </c>
      <c r="B40" s="391">
        <v>6018590.8799999999</v>
      </c>
      <c r="C40" s="391">
        <v>14619868</v>
      </c>
      <c r="D40" s="391">
        <v>9513833.5399999991</v>
      </c>
      <c r="E40" s="392">
        <f>6600879.36</f>
        <v>6600879.3600000003</v>
      </c>
      <c r="F40" s="391">
        <v>426276112.94</v>
      </c>
      <c r="G40" s="391">
        <v>427435434.78000003</v>
      </c>
      <c r="H40" s="391">
        <v>494041773.40999997</v>
      </c>
      <c r="I40" s="392">
        <f>554848011.98+50009963.36</f>
        <v>604857975.34000003</v>
      </c>
      <c r="J40" s="348">
        <f t="shared" si="3"/>
        <v>629133957.52999997</v>
      </c>
      <c r="K40" s="406">
        <f t="shared" si="3"/>
        <v>640501684.29999995</v>
      </c>
      <c r="L40" s="406">
        <f t="shared" si="3"/>
        <v>654487680.41999996</v>
      </c>
      <c r="M40" s="388">
        <f t="shared" si="3"/>
        <v>784327957.75</v>
      </c>
      <c r="Q40" s="66"/>
    </row>
    <row r="41" spans="1:17" ht="17.100000000000001" customHeight="1" thickBot="1" x14ac:dyDescent="0.25">
      <c r="A41" s="393" t="s">
        <v>18</v>
      </c>
      <c r="B41" s="394">
        <v>289657435.38</v>
      </c>
      <c r="C41" s="394">
        <v>280775876.77000004</v>
      </c>
      <c r="D41" s="394">
        <v>334478038.56</v>
      </c>
      <c r="E41" s="395">
        <f>8212005.19+392405184.3</f>
        <v>400617189.49000001</v>
      </c>
      <c r="F41" s="394">
        <v>345381584.58999997</v>
      </c>
      <c r="G41" s="394">
        <v>338847804.18000001</v>
      </c>
      <c r="H41" s="394">
        <v>439155478.29000002</v>
      </c>
      <c r="I41" s="395">
        <f>365913959.08+38901609.47</f>
        <v>404815568.54999995</v>
      </c>
      <c r="J41" s="349">
        <f t="shared" si="3"/>
        <v>871562143.47000003</v>
      </c>
      <c r="K41" s="406">
        <f t="shared" si="3"/>
        <v>860241963.17000008</v>
      </c>
      <c r="L41" s="406">
        <f t="shared" si="3"/>
        <v>981117369.87000012</v>
      </c>
      <c r="M41" s="407">
        <f t="shared" si="3"/>
        <v>1037500982.9299999</v>
      </c>
      <c r="Q41" s="66"/>
    </row>
    <row r="42" spans="1:17" ht="21" customHeight="1" thickBot="1" x14ac:dyDescent="0.25">
      <c r="A42" s="397" t="s">
        <v>19</v>
      </c>
      <c r="B42" s="399">
        <f t="shared" ref="B42:D42" si="4">SUM(B30:B41)</f>
        <v>1705001750.8900003</v>
      </c>
      <c r="C42" s="399">
        <f t="shared" si="4"/>
        <v>1374322595.1600001</v>
      </c>
      <c r="D42" s="400">
        <f t="shared" si="4"/>
        <v>1955031614.8699999</v>
      </c>
      <c r="E42" s="401">
        <f t="shared" ref="E42:L42" si="5">SUM(E30:E41)</f>
        <v>2243851139.6099997</v>
      </c>
      <c r="F42" s="402">
        <f t="shared" si="5"/>
        <v>3838579017.2199998</v>
      </c>
      <c r="G42" s="399">
        <f t="shared" si="5"/>
        <v>3770485099.27</v>
      </c>
      <c r="H42" s="400">
        <f t="shared" si="5"/>
        <v>4373309276.6900005</v>
      </c>
      <c r="I42" s="401">
        <f t="shared" si="5"/>
        <v>5098668513.0900002</v>
      </c>
      <c r="J42" s="408">
        <f t="shared" si="5"/>
        <v>7846036640.2799997</v>
      </c>
      <c r="K42" s="409">
        <f t="shared" si="5"/>
        <v>7295949432.6300001</v>
      </c>
      <c r="L42" s="409">
        <f t="shared" si="5"/>
        <v>8071844116.8699999</v>
      </c>
      <c r="M42" s="401">
        <f>E22+I22+M22+Q22+E42+I42</f>
        <v>9293175115</v>
      </c>
      <c r="Q42" s="66"/>
    </row>
    <row r="43" spans="1:17" x14ac:dyDescent="0.2">
      <c r="A43" s="92"/>
      <c r="B43" s="73"/>
      <c r="C43" s="73"/>
      <c r="D43" s="73"/>
      <c r="E43" s="213"/>
      <c r="F43" s="73"/>
      <c r="G43" s="73"/>
      <c r="H43" s="73"/>
      <c r="I43" s="213"/>
      <c r="J43" s="71"/>
      <c r="K43" s="73"/>
      <c r="L43" s="73"/>
      <c r="M43" s="213"/>
      <c r="N43" s="73"/>
      <c r="O43" s="73"/>
      <c r="P43" s="73"/>
    </row>
  </sheetData>
  <mergeCells count="19">
    <mergeCell ref="A1:Q1"/>
    <mergeCell ref="A2:Q2"/>
    <mergeCell ref="A4:Q4"/>
    <mergeCell ref="A6:A9"/>
    <mergeCell ref="B6:E7"/>
    <mergeCell ref="F6:I7"/>
    <mergeCell ref="J6:M7"/>
    <mergeCell ref="N6:Q7"/>
    <mergeCell ref="Q8:Q9"/>
    <mergeCell ref="A26:A29"/>
    <mergeCell ref="B26:E27"/>
    <mergeCell ref="F26:I27"/>
    <mergeCell ref="J26:M27"/>
    <mergeCell ref="E8:E9"/>
    <mergeCell ref="I8:I9"/>
    <mergeCell ref="M8:M9"/>
    <mergeCell ref="M28:M29"/>
    <mergeCell ref="I28:I29"/>
    <mergeCell ref="E28:E29"/>
  </mergeCells>
  <pageMargins left="0.51181102362204722" right="0.51181102362204722" top="0.51181102362204722" bottom="0.51181102362204722" header="0.31496062992125984" footer="0.31496062992125984"/>
  <pageSetup paperSize="9" scale="70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54559-CCE6-437B-B040-33FDB2037222}">
  <sheetPr>
    <tabColor rgb="FF000000"/>
  </sheetPr>
  <dimension ref="A1:S64"/>
  <sheetViews>
    <sheetView showGridLines="0" view="pageBreakPreview" topLeftCell="A60" zoomScale="160" zoomScaleNormal="160" zoomScaleSheetLayoutView="160" workbookViewId="0">
      <selection sqref="A1:M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512" t="s">
        <v>164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451"/>
      <c r="Q1" s="451"/>
      <c r="R1" s="452"/>
      <c r="S1" s="452"/>
    </row>
    <row r="2" spans="1:19" ht="19.5" x14ac:dyDescent="0.3">
      <c r="A2" s="686"/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5" spans="1:19" ht="12.75" customHeight="1" x14ac:dyDescent="0.2"/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1:19" ht="12.75" customHeight="1" x14ac:dyDescent="0.2"/>
    <row r="34" spans="1:19" ht="12.75" customHeight="1" x14ac:dyDescent="0.2"/>
    <row r="35" spans="1:19" ht="12.75" customHeight="1" x14ac:dyDescent="0.2"/>
    <row r="36" spans="1:19" ht="12.75" customHeight="1" x14ac:dyDescent="0.2"/>
    <row r="37" spans="1:19" ht="12.75" customHeight="1" x14ac:dyDescent="0.2"/>
    <row r="38" spans="1:19" ht="6" customHeight="1" x14ac:dyDescent="0.2"/>
    <row r="39" spans="1:19" ht="12.75" customHeight="1" x14ac:dyDescent="0.2">
      <c r="I39" s="453" t="s">
        <v>35</v>
      </c>
      <c r="K39" s="60"/>
    </row>
    <row r="40" spans="1:19" ht="12.75" customHeight="1" x14ac:dyDescent="0.2">
      <c r="K40" s="60"/>
    </row>
    <row r="41" spans="1:19" ht="28.5" x14ac:dyDescent="0.45">
      <c r="A41" s="512" t="s">
        <v>165</v>
      </c>
      <c r="B41" s="685"/>
      <c r="C41" s="685"/>
      <c r="D41" s="685"/>
      <c r="E41" s="685"/>
      <c r="F41" s="685"/>
      <c r="G41" s="685"/>
      <c r="H41" s="685"/>
      <c r="I41" s="685"/>
      <c r="J41" s="685"/>
      <c r="K41" s="685"/>
      <c r="L41" s="685"/>
      <c r="M41" s="685"/>
      <c r="N41" s="685"/>
      <c r="O41" s="685"/>
      <c r="P41" s="452"/>
      <c r="Q41" s="452"/>
      <c r="R41" s="452"/>
      <c r="S41" s="452"/>
    </row>
    <row r="42" spans="1:19" ht="19.5" x14ac:dyDescent="0.3">
      <c r="A42" s="686"/>
      <c r="B42" s="687"/>
      <c r="C42" s="687"/>
      <c r="D42" s="687"/>
      <c r="E42" s="687"/>
      <c r="F42" s="687"/>
      <c r="G42" s="687"/>
      <c r="H42" s="687"/>
      <c r="I42" s="687"/>
      <c r="J42" s="687"/>
      <c r="K42" s="687"/>
      <c r="L42" s="687"/>
      <c r="M42" s="687"/>
      <c r="N42" s="687"/>
      <c r="O42" s="687"/>
      <c r="P42"/>
      <c r="Q42"/>
      <c r="R42"/>
      <c r="S42"/>
    </row>
    <row r="43" spans="1:19" ht="12.75" customHeight="1" x14ac:dyDescent="0.2"/>
    <row r="64" spans="11:19" x14ac:dyDescent="0.2">
      <c r="K64" s="632"/>
      <c r="L64" s="633"/>
      <c r="M64" s="633"/>
      <c r="N64" s="633"/>
      <c r="O64" s="633"/>
      <c r="P64" s="633"/>
      <c r="Q64" s="633"/>
      <c r="R64" s="633"/>
      <c r="S64" s="633"/>
    </row>
  </sheetData>
  <mergeCells count="5">
    <mergeCell ref="A1:O1"/>
    <mergeCell ref="A2:O2"/>
    <mergeCell ref="A41:O41"/>
    <mergeCell ref="A42:O42"/>
    <mergeCell ref="K64:S64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40" max="14" man="1"/>
  </rowBreak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E475F-8F17-49A2-8E23-3D8ED3D1A251}">
  <sheetPr>
    <tabColor theme="5" tint="-0.499984740745262"/>
    <pageSetUpPr fitToPage="1"/>
  </sheetPr>
  <dimension ref="A1:N48"/>
  <sheetViews>
    <sheetView showGridLines="0" zoomScale="140" zoomScaleNormal="140" zoomScaleSheetLayoutView="130" workbookViewId="0">
      <selection sqref="A1:M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85" t="s">
        <v>173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20.25" x14ac:dyDescent="0.3">
      <c r="A2" s="638"/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A3" s="212"/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67" t="s">
        <v>2</v>
      </c>
      <c r="B4" s="694" t="s">
        <v>154</v>
      </c>
      <c r="C4" s="696"/>
      <c r="D4" s="697"/>
      <c r="E4" s="701" t="s">
        <v>159</v>
      </c>
      <c r="F4" s="696"/>
      <c r="G4" s="697"/>
      <c r="H4" s="694" t="s">
        <v>155</v>
      </c>
      <c r="I4" s="696"/>
      <c r="J4" s="697"/>
      <c r="K4" s="688" t="s">
        <v>156</v>
      </c>
      <c r="L4" s="696"/>
      <c r="M4" s="697"/>
      <c r="N4" s="73"/>
    </row>
    <row r="5" spans="1:14" ht="14.45" customHeight="1" thickBot="1" x14ac:dyDescent="0.25">
      <c r="A5" s="645"/>
      <c r="B5" s="698"/>
      <c r="C5" s="699"/>
      <c r="D5" s="700"/>
      <c r="E5" s="698"/>
      <c r="F5" s="699"/>
      <c r="G5" s="700"/>
      <c r="H5" s="698"/>
      <c r="I5" s="699"/>
      <c r="J5" s="700"/>
      <c r="K5" s="698"/>
      <c r="L5" s="699"/>
      <c r="M5" s="700"/>
      <c r="N5" s="71"/>
    </row>
    <row r="6" spans="1:14" ht="14.45" customHeight="1" x14ac:dyDescent="0.2">
      <c r="A6" s="645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84" t="s">
        <v>6</v>
      </c>
      <c r="I6" s="557" t="s">
        <v>31</v>
      </c>
      <c r="J6" s="559" t="s">
        <v>32</v>
      </c>
      <c r="K6" s="584" t="s">
        <v>23</v>
      </c>
      <c r="L6" s="557" t="s">
        <v>31</v>
      </c>
      <c r="M6" s="559" t="s">
        <v>32</v>
      </c>
    </row>
    <row r="7" spans="1:14" ht="14.45" customHeight="1" thickBot="1" x14ac:dyDescent="0.25">
      <c r="A7" s="646"/>
      <c r="B7" s="636"/>
      <c r="C7" s="635"/>
      <c r="D7" s="634"/>
      <c r="E7" s="636"/>
      <c r="F7" s="635"/>
      <c r="G7" s="634"/>
      <c r="H7" s="636"/>
      <c r="I7" s="635"/>
      <c r="J7" s="634"/>
      <c r="K7" s="636"/>
      <c r="L7" s="635"/>
      <c r="M7" s="634"/>
    </row>
    <row r="8" spans="1:14" ht="15.95" customHeight="1" x14ac:dyDescent="0.2">
      <c r="A8" s="245" t="s">
        <v>7</v>
      </c>
      <c r="B8" s="247">
        <f>58961356.65+90045465.75</f>
        <v>149006822.40000001</v>
      </c>
      <c r="C8" s="248">
        <f>C20/12</f>
        <v>131452166.66666667</v>
      </c>
      <c r="D8" s="249">
        <f>B8-C8</f>
        <v>17554655.733333334</v>
      </c>
      <c r="E8" s="250">
        <f>3631627.12+5546201.45</f>
        <v>9177828.5700000003</v>
      </c>
      <c r="F8" s="248">
        <f>F20/12</f>
        <v>8098833.333333333</v>
      </c>
      <c r="G8" s="249">
        <f>E8-F8</f>
        <v>1078995.2366666673</v>
      </c>
      <c r="H8" s="250">
        <f>6395147.52+1704807.13</f>
        <v>8099954.6499999994</v>
      </c>
      <c r="I8" s="248">
        <f>I20/12</f>
        <v>9829666.666666666</v>
      </c>
      <c r="J8" s="251">
        <f>H8-I8</f>
        <v>-1729712.0166666666</v>
      </c>
      <c r="K8" s="250">
        <f>23894012.94+7812613.06</f>
        <v>31706626</v>
      </c>
      <c r="L8" s="248">
        <f>L20/12</f>
        <v>30868333.333333332</v>
      </c>
      <c r="M8" s="251">
        <f>K8-L8</f>
        <v>838292.66666666791</v>
      </c>
    </row>
    <row r="9" spans="1:14" ht="15.95" customHeight="1" x14ac:dyDescent="0.2">
      <c r="A9" s="246" t="s">
        <v>8</v>
      </c>
      <c r="B9" s="252">
        <f>63683503.09+78985272.78</f>
        <v>142668775.87</v>
      </c>
      <c r="C9" s="253">
        <f>C8*2</f>
        <v>262904333.33333334</v>
      </c>
      <c r="D9" s="249">
        <f>SUM(B8+B9)-C9</f>
        <v>28771264.936666638</v>
      </c>
      <c r="E9" s="247">
        <f>3922479.91+4864967.13</f>
        <v>8787447.0399999991</v>
      </c>
      <c r="F9" s="253">
        <f>F8*2</f>
        <v>16197666.666666666</v>
      </c>
      <c r="G9" s="249">
        <f>SUM(E8+E9)-F9</f>
        <v>1767608.9433333334</v>
      </c>
      <c r="H9" s="247">
        <f>2429932.69+2835785.51</f>
        <v>5265718.1999999993</v>
      </c>
      <c r="I9" s="253">
        <f>I8*2</f>
        <v>19659333.333333332</v>
      </c>
      <c r="J9" s="249">
        <f>SUM(H8+H9)-I9</f>
        <v>-6293660.4833333343</v>
      </c>
      <c r="K9" s="252">
        <f>25410927.54+7301146.81</f>
        <v>32712074.349999998</v>
      </c>
      <c r="L9" s="253">
        <f>L8*2</f>
        <v>61736666.666666664</v>
      </c>
      <c r="M9" s="249">
        <f>SUM(K8+K9)-L9</f>
        <v>2682033.6833333299</v>
      </c>
    </row>
    <row r="10" spans="1:14" ht="15.95" customHeight="1" x14ac:dyDescent="0.2">
      <c r="A10" s="246" t="s">
        <v>9</v>
      </c>
      <c r="B10" s="252">
        <f>48921430.98+65505585.08</f>
        <v>114427016.06</v>
      </c>
      <c r="C10" s="253">
        <f>C8*3</f>
        <v>394356500</v>
      </c>
      <c r="D10" s="249">
        <f>SUM(B8+B9+B10)-C10</f>
        <v>11746114.329999983</v>
      </c>
      <c r="E10" s="247">
        <f>3013234.52+4034708.05</f>
        <v>7047942.5700000003</v>
      </c>
      <c r="F10" s="254">
        <f>F8*3</f>
        <v>24296500</v>
      </c>
      <c r="G10" s="249">
        <f>SUM(E8+E9+E10)-F10</f>
        <v>716718.1799999997</v>
      </c>
      <c r="H10" s="247">
        <f>4758569.85+7843964.22</f>
        <v>12602534.07</v>
      </c>
      <c r="I10" s="254">
        <f>I8*3</f>
        <v>29489000</v>
      </c>
      <c r="J10" s="249">
        <f>SUM(H8+H9+H10)-I10</f>
        <v>-3520793.0800000019</v>
      </c>
      <c r="K10" s="252">
        <f>16950123.36+8685202.49</f>
        <v>25635325.850000001</v>
      </c>
      <c r="L10" s="254">
        <f>L8*3</f>
        <v>92605000</v>
      </c>
      <c r="M10" s="249">
        <f>SUM(K8+K9+K10)-L10</f>
        <v>-2550973.8000000119</v>
      </c>
    </row>
    <row r="11" spans="1:14" ht="15.95" customHeight="1" x14ac:dyDescent="0.2">
      <c r="A11" s="246" t="s">
        <v>10</v>
      </c>
      <c r="B11" s="252">
        <f>38459190.63+60811499.95</f>
        <v>99270690.580000013</v>
      </c>
      <c r="C11" s="253">
        <f>C8*4</f>
        <v>525808666.66666669</v>
      </c>
      <c r="D11" s="249">
        <f>SUM(B8+B9+B10+B11)-C11</f>
        <v>-20435361.75666672</v>
      </c>
      <c r="E11" s="247">
        <f>2368830.2+3745583.66</f>
        <v>6114413.8600000003</v>
      </c>
      <c r="F11" s="253">
        <f>F8*4</f>
        <v>32395333.333333332</v>
      </c>
      <c r="G11" s="249">
        <f>SUM(E8+E9+E10+E11)-F11</f>
        <v>-1267701.293333333</v>
      </c>
      <c r="H11" s="247">
        <v>0</v>
      </c>
      <c r="I11" s="253">
        <f>I8*4</f>
        <v>39318666.666666664</v>
      </c>
      <c r="J11" s="249">
        <f>SUM(H8+H9+H10+H11)-I11</f>
        <v>-13350459.746666666</v>
      </c>
      <c r="K11" s="252">
        <f>19446183.28+7731801</f>
        <v>27177984.280000001</v>
      </c>
      <c r="L11" s="253">
        <f>L8*4</f>
        <v>123473333.33333333</v>
      </c>
      <c r="M11" s="249">
        <f>SUM(K8+K9+K10+K11)-L11</f>
        <v>-6241322.8533333391</v>
      </c>
    </row>
    <row r="12" spans="1:14" ht="15.95" customHeight="1" x14ac:dyDescent="0.2">
      <c r="A12" s="246" t="s">
        <v>11</v>
      </c>
      <c r="B12" s="252">
        <f>40377085.89+84967771.26</f>
        <v>125344857.15000001</v>
      </c>
      <c r="C12" s="253">
        <f>C8*5</f>
        <v>657260833.33333337</v>
      </c>
      <c r="D12" s="249">
        <f>SUM(B8+B9+B10+B11+B12)-C12</f>
        <v>-26542671.27333343</v>
      </c>
      <c r="E12" s="247">
        <f>2486959.76+5233449.16</f>
        <v>7720408.9199999999</v>
      </c>
      <c r="F12" s="253">
        <f>F8*5</f>
        <v>40494166.666666664</v>
      </c>
      <c r="G12" s="249">
        <f>SUM(E8+E9+E10+E11+E12)-F12</f>
        <v>-1646125.7066666633</v>
      </c>
      <c r="H12" s="247">
        <v>0</v>
      </c>
      <c r="I12" s="253">
        <f>I8*5</f>
        <v>49148333.333333328</v>
      </c>
      <c r="J12" s="249">
        <f>SUM(H8+H9+H10+H11+H12)-I12</f>
        <v>-23180126.41333333</v>
      </c>
      <c r="K12" s="252">
        <f>19358353.13+10036094.35</f>
        <v>29394447.479999997</v>
      </c>
      <c r="L12" s="253">
        <f>L8*5</f>
        <v>154341666.66666666</v>
      </c>
      <c r="M12" s="249">
        <f>SUM(K8+K9+K10+K11+K12)-L12</f>
        <v>-7715208.7066666782</v>
      </c>
    </row>
    <row r="13" spans="1:14" ht="15.95" customHeight="1" x14ac:dyDescent="0.2">
      <c r="A13" s="246" t="s">
        <v>12</v>
      </c>
      <c r="B13" s="252">
        <f>56846438.3+92996412.69</f>
        <v>149842850.99000001</v>
      </c>
      <c r="C13" s="253">
        <f>C8*6</f>
        <v>788713000</v>
      </c>
      <c r="D13" s="249">
        <f>SUM(B8+B9+B10+B11+B12+B13)-C13</f>
        <v>-8151986.9500000477</v>
      </c>
      <c r="E13" s="247">
        <f>3501362.27+5727960.06</f>
        <v>9229322.3300000001</v>
      </c>
      <c r="F13" s="253">
        <f>F8*6</f>
        <v>48593000</v>
      </c>
      <c r="G13" s="249">
        <f>SUM(E8+E9+E10+E11+E12+E13)-F13</f>
        <v>-515636.71000000089</v>
      </c>
      <c r="H13" s="247">
        <v>0</v>
      </c>
      <c r="I13" s="253">
        <f>I8*6</f>
        <v>58978000</v>
      </c>
      <c r="J13" s="249">
        <f>SUM(H8+H9+H10+H11+H12+H13)-I13</f>
        <v>-33009793.080000002</v>
      </c>
      <c r="K13" s="252">
        <f>21983433.13+11856190.9</f>
        <v>33839624.030000001</v>
      </c>
      <c r="L13" s="253">
        <f>L8*6</f>
        <v>185210000</v>
      </c>
      <c r="M13" s="249">
        <f>SUM(K8+K9+K10+K11+K12+K13)-L13</f>
        <v>-4743918.0100000203</v>
      </c>
    </row>
    <row r="14" spans="1:14" ht="15.95" customHeight="1" x14ac:dyDescent="0.2">
      <c r="A14" s="246" t="s">
        <v>13</v>
      </c>
      <c r="B14" s="252">
        <f>56770809.51+92944813.32</f>
        <v>149715622.82999998</v>
      </c>
      <c r="C14" s="253">
        <f>C8*7</f>
        <v>920165166.66666675</v>
      </c>
      <c r="D14" s="249">
        <f>SUM(B8+B9+B10+B11+B12+B13+B14)-C14</f>
        <v>10111469.21333313</v>
      </c>
      <c r="E14" s="247">
        <f>3496704.04+5724781.89</f>
        <v>9221485.9299999997</v>
      </c>
      <c r="F14" s="253">
        <f>F8*7</f>
        <v>56691833.333333328</v>
      </c>
      <c r="G14" s="249">
        <f>SUM(E8+E9+E10+E11+E12+E13+E14)-F14</f>
        <v>607015.88666667044</v>
      </c>
      <c r="H14" s="247">
        <f>14714947.53+28120959.46</f>
        <v>42835906.990000002</v>
      </c>
      <c r="I14" s="253">
        <f>I8*7</f>
        <v>68807666.666666657</v>
      </c>
      <c r="J14" s="249">
        <f>SUM(H8+H9+H10+H11+H12+H13+H14)-I14</f>
        <v>-3552.7566666603088</v>
      </c>
      <c r="K14" s="252">
        <f>30853468.41+10482567.33</f>
        <v>41336035.740000002</v>
      </c>
      <c r="L14" s="253">
        <f>L8*7</f>
        <v>216078333.33333331</v>
      </c>
      <c r="M14" s="249">
        <f>SUM(K8+K9+K10+K11+K12+K13+K14)-L14</f>
        <v>5723784.3966666758</v>
      </c>
    </row>
    <row r="15" spans="1:14" ht="15.95" customHeight="1" x14ac:dyDescent="0.2">
      <c r="A15" s="246" t="s">
        <v>14</v>
      </c>
      <c r="B15" s="252">
        <f>58224740.96+89529900.81</f>
        <v>147754641.77000001</v>
      </c>
      <c r="C15" s="253">
        <f>C8*8</f>
        <v>1051617333.3333334</v>
      </c>
      <c r="D15" s="249">
        <f>SUM(B8+B9+B10+B11+B12+B13+B14+B15)-C15</f>
        <v>26413944.316666484</v>
      </c>
      <c r="E15" s="247">
        <f>3586256.5+5514446.03</f>
        <v>9100702.5300000012</v>
      </c>
      <c r="F15" s="253">
        <f>F8*8</f>
        <v>64790666.666666664</v>
      </c>
      <c r="G15" s="249">
        <f>SUM(E8+E9+E10+E11+E12+E13+E14+E15)-F15</f>
        <v>1608885.0833333358</v>
      </c>
      <c r="H15" s="247">
        <v>0</v>
      </c>
      <c r="I15" s="253">
        <f>I8*8</f>
        <v>78637333.333333328</v>
      </c>
      <c r="J15" s="249">
        <f>SUM(H8+H9+H10+H11+H12+H13+H14+H15)-I15</f>
        <v>-9833219.4233333319</v>
      </c>
      <c r="K15" s="252">
        <f>27988446.15+11959278.4</f>
        <v>39947724.549999997</v>
      </c>
      <c r="L15" s="253">
        <f>L8*8</f>
        <v>246946666.66666666</v>
      </c>
      <c r="M15" s="249">
        <f>SUM(K8+K9+K10+K11+K12+K13+K14+K15)-L15</f>
        <v>14803175.613333315</v>
      </c>
    </row>
    <row r="16" spans="1:14" ht="15.95" customHeight="1" x14ac:dyDescent="0.2">
      <c r="A16" s="246" t="s">
        <v>15</v>
      </c>
      <c r="B16" s="252">
        <f>55320957.11+62515585.08</f>
        <v>117836542.19</v>
      </c>
      <c r="C16" s="253">
        <f>C8*9</f>
        <v>1183069500</v>
      </c>
      <c r="D16" s="249">
        <f>SUM(B8+B9+B10+B11+B12+B13+B14+B15+B16)-C16</f>
        <v>12798319.839999914</v>
      </c>
      <c r="E16" s="247">
        <f>3407402.74+6171142.77</f>
        <v>9578545.5099999998</v>
      </c>
      <c r="F16" s="253">
        <f>F8*9</f>
        <v>72889500</v>
      </c>
      <c r="G16" s="249">
        <f>SUM(E8+E9+E10+E11+E12+E13+E14+E15+E16)-F16</f>
        <v>3088597.2600000054</v>
      </c>
      <c r="H16" s="247">
        <f>20174749.62</f>
        <v>20174749.620000001</v>
      </c>
      <c r="I16" s="253">
        <f>I8*9</f>
        <v>88467000</v>
      </c>
      <c r="J16" s="249">
        <f>SUM(H8+H9+H10+H11+H12+H13+H14+H15+H16)-I16</f>
        <v>511863.53000000119</v>
      </c>
      <c r="K16" s="252">
        <f>41131559.91+4240282.61</f>
        <v>45371842.519999996</v>
      </c>
      <c r="L16" s="253">
        <f>L8*9</f>
        <v>277815000</v>
      </c>
      <c r="M16" s="249">
        <f>SUM(K8+K9+K10+K11+K12+K13+K14+K15+K16)-L16</f>
        <v>29306684.799999952</v>
      </c>
    </row>
    <row r="17" spans="1:13" ht="15.95" customHeight="1" x14ac:dyDescent="0.2">
      <c r="A17" s="246" t="s">
        <v>16</v>
      </c>
      <c r="B17" s="252">
        <f>50660014.32+80977778.12</f>
        <v>131637792.44</v>
      </c>
      <c r="C17" s="253">
        <f>C8*10</f>
        <v>1314521666.6666667</v>
      </c>
      <c r="D17" s="249">
        <f>SUM(B8+B9+B10+B11+B12+B13+B14+B15+B16+B17)-C17</f>
        <v>12983945.613333225</v>
      </c>
      <c r="E17" s="247">
        <f>3223724.47+5152980.13</f>
        <v>8376704.5999999996</v>
      </c>
      <c r="F17" s="253">
        <f>F8*10</f>
        <v>80988333.333333328</v>
      </c>
      <c r="G17" s="249">
        <f>SUM(E8+E9+E10+E11+E12+E13+E14+E15+E16+E17)-F17</f>
        <v>3366468.526666671</v>
      </c>
      <c r="H17" s="247">
        <f>5169922.77+4403283.66</f>
        <v>9573206.4299999997</v>
      </c>
      <c r="I17" s="253">
        <f>I8*10</f>
        <v>98296666.666666657</v>
      </c>
      <c r="J17" s="249">
        <f>SUM(H8+H9+H10+H11+H12+H13+H14+H15+H16+H17)-I17</f>
        <v>255403.29333335161</v>
      </c>
      <c r="K17" s="252">
        <f>22959634.49+9188025.4</f>
        <v>32147659.890000001</v>
      </c>
      <c r="L17" s="253">
        <f>L8*10</f>
        <v>308683333.33333331</v>
      </c>
      <c r="M17" s="249">
        <f>SUM(K8+K9+K10+K11+K12+K13+K14+K15+K16+K17)-L17</f>
        <v>30586011.356666625</v>
      </c>
    </row>
    <row r="18" spans="1:13" ht="15.95" customHeight="1" x14ac:dyDescent="0.2">
      <c r="A18" s="246" t="s">
        <v>17</v>
      </c>
      <c r="B18" s="252">
        <f>57687498.52+94693262.96</f>
        <v>152380761.47999999</v>
      </c>
      <c r="C18" s="253">
        <f>C8*11</f>
        <v>1445973833.3333335</v>
      </c>
      <c r="D18" s="249">
        <f>SUM(B8+B9+B10+B11+B12+B13+B14+B15+B16+B17+B18)-C18</f>
        <v>33912540.426666498</v>
      </c>
      <c r="E18" s="247">
        <f>3670914.93+6025758.08</f>
        <v>9696673.0099999998</v>
      </c>
      <c r="F18" s="253">
        <f>F8*11</f>
        <v>89087166.666666657</v>
      </c>
      <c r="G18" s="249">
        <f>SUM(E8+E9+E10+E11+E12+E13+E14+E15+E16+E17+E18)-F18</f>
        <v>4964308.203333348</v>
      </c>
      <c r="H18" s="247">
        <f>4333721.88+3928949.82</f>
        <v>8262671.6999999993</v>
      </c>
      <c r="I18" s="253">
        <f>I8*11</f>
        <v>108126333.33333333</v>
      </c>
      <c r="J18" s="249">
        <f>SUM(H8+H9+H10+H11+H12+H13+H14+H15+H16+H17+H18)-I18</f>
        <v>-1311591.673333317</v>
      </c>
      <c r="K18" s="252">
        <f>24706917.16+9983883.1</f>
        <v>34690800.259999998</v>
      </c>
      <c r="L18" s="253">
        <f>L8*11</f>
        <v>339551666.66666663</v>
      </c>
      <c r="M18" s="249">
        <f>SUM(K8+K9+K10+K11+K12+K13+K14+K15+K16+K17+K18)-L18</f>
        <v>34408478.283333302</v>
      </c>
    </row>
    <row r="19" spans="1:13" ht="15.95" customHeight="1" thickBot="1" x14ac:dyDescent="0.25">
      <c r="A19" s="339" t="s">
        <v>18</v>
      </c>
      <c r="B19" s="331">
        <f>49746731.58+123616716.3</f>
        <v>173363447.88</v>
      </c>
      <c r="C19" s="332">
        <f>C8*12</f>
        <v>1577426000</v>
      </c>
      <c r="D19" s="249">
        <f>SUM(B8+B9+B10+B11+B12+B13+B14+B15+B16+B17+B18+B19)-C19</f>
        <v>75823821.639999866</v>
      </c>
      <c r="E19" s="333">
        <f>3165608.18+7866287.48</f>
        <v>11031895.66</v>
      </c>
      <c r="F19" s="332">
        <f>F8*12</f>
        <v>97186000</v>
      </c>
      <c r="G19" s="249">
        <f>SUM(E8+E9+E10+E11+E12+E13+E14+E15+E16+E17+E18+E19)-F19</f>
        <v>7897370.5300000012</v>
      </c>
      <c r="H19" s="333">
        <f>2351684.61+31978757.17</f>
        <v>34330441.780000001</v>
      </c>
      <c r="I19" s="332">
        <f>I8*12</f>
        <v>117956000</v>
      </c>
      <c r="J19" s="249">
        <f>SUM(H8+H9+H10+H11+H12+H13+H14+H15+H16+H17+H18+H19)-I19</f>
        <v>23189183.439999998</v>
      </c>
      <c r="K19" s="334">
        <f>21164225.14+12211641.26</f>
        <v>33375866.399999999</v>
      </c>
      <c r="L19" s="332">
        <f>L8*12</f>
        <v>370420000</v>
      </c>
      <c r="M19" s="249">
        <f>SUM(K8+K9+K10+K11+K12+K13+K14+K15+K16+K17+K18+K19)-L19</f>
        <v>36916011.349999905</v>
      </c>
    </row>
    <row r="20" spans="1:13" ht="15.95" customHeight="1" thickBot="1" x14ac:dyDescent="0.25">
      <c r="A20" s="257" t="s">
        <v>19</v>
      </c>
      <c r="B20" s="345">
        <f>SUM(B8:B19)</f>
        <v>1653249821.6399999</v>
      </c>
      <c r="C20" s="258">
        <f>1502069000+75357000</f>
        <v>1577426000</v>
      </c>
      <c r="D20" s="259"/>
      <c r="E20" s="345">
        <f>SUM(E8:E19)</f>
        <v>105083370.53</v>
      </c>
      <c r="F20" s="258">
        <f>92543000+4643000</f>
        <v>97186000</v>
      </c>
      <c r="G20" s="260"/>
      <c r="H20" s="345">
        <f>SUM(H8:H19)</f>
        <v>141145183.44</v>
      </c>
      <c r="I20" s="258">
        <v>117956000</v>
      </c>
      <c r="J20" s="260"/>
      <c r="K20" s="345">
        <f>SUM(K8:K19)</f>
        <v>407336011.3499999</v>
      </c>
      <c r="L20" s="258">
        <f>300420000+70000000</f>
        <v>370420000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67" t="s">
        <v>2</v>
      </c>
      <c r="B24" s="688" t="s">
        <v>157</v>
      </c>
      <c r="C24" s="689"/>
      <c r="D24" s="690"/>
      <c r="E24" s="694" t="s">
        <v>158</v>
      </c>
      <c r="F24" s="689"/>
      <c r="G24" s="690"/>
      <c r="H24" s="695" t="s">
        <v>22</v>
      </c>
      <c r="I24" s="689"/>
      <c r="J24" s="690"/>
      <c r="K24" s="370"/>
    </row>
    <row r="25" spans="1:13" ht="14.45" customHeight="1" thickBot="1" x14ac:dyDescent="0.25">
      <c r="A25" s="596"/>
      <c r="B25" s="691"/>
      <c r="C25" s="692"/>
      <c r="D25" s="693"/>
      <c r="E25" s="691"/>
      <c r="F25" s="692"/>
      <c r="G25" s="693"/>
      <c r="H25" s="691"/>
      <c r="I25" s="692"/>
      <c r="J25" s="693"/>
      <c r="K25" s="370"/>
    </row>
    <row r="26" spans="1:13" ht="14.45" customHeight="1" x14ac:dyDescent="0.2">
      <c r="A26" s="596"/>
      <c r="B26" s="563" t="s">
        <v>24</v>
      </c>
      <c r="C26" s="557" t="s">
        <v>31</v>
      </c>
      <c r="D26" s="559" t="s">
        <v>32</v>
      </c>
      <c r="E26" s="563" t="s">
        <v>25</v>
      </c>
      <c r="F26" s="557" t="s">
        <v>31</v>
      </c>
      <c r="G26" s="559" t="s">
        <v>32</v>
      </c>
      <c r="H26" s="566" t="s">
        <v>19</v>
      </c>
      <c r="I26" s="557" t="s">
        <v>31</v>
      </c>
      <c r="J26" s="559" t="s">
        <v>32</v>
      </c>
      <c r="K26" s="553" t="s">
        <v>116</v>
      </c>
    </row>
    <row r="27" spans="1:13" ht="14.45" customHeight="1" thickBot="1" x14ac:dyDescent="0.25">
      <c r="A27" s="597"/>
      <c r="B27" s="655"/>
      <c r="C27" s="635"/>
      <c r="D27" s="634"/>
      <c r="E27" s="655"/>
      <c r="F27" s="654"/>
      <c r="G27" s="634"/>
      <c r="H27" s="636"/>
      <c r="I27" s="635"/>
      <c r="J27" s="634"/>
      <c r="K27" s="653"/>
    </row>
    <row r="28" spans="1:13" ht="15.95" customHeight="1" x14ac:dyDescent="0.2">
      <c r="A28" s="261" t="s">
        <v>7</v>
      </c>
      <c r="B28" s="262">
        <f>56911199.59+3646722.93</f>
        <v>60557922.520000003</v>
      </c>
      <c r="C28" s="248">
        <f>C40/12</f>
        <v>222564166.66666666</v>
      </c>
      <c r="D28" s="251">
        <f>B28-C28</f>
        <v>-162006244.14666665</v>
      </c>
      <c r="E28" s="263">
        <f>427258733.28+39441914.07</f>
        <v>466700647.34999996</v>
      </c>
      <c r="F28" s="264">
        <f>F40/12</f>
        <v>442252833.33333331</v>
      </c>
      <c r="G28" s="265">
        <f>E28-F28</f>
        <v>24447814.016666651</v>
      </c>
      <c r="H28" s="266">
        <f t="shared" ref="H28:H40" si="0">$B8+$E8+$H8+$K8+$B28+$E28</f>
        <v>725249801.49000001</v>
      </c>
      <c r="I28" s="264">
        <f>I40/12</f>
        <v>845066000</v>
      </c>
      <c r="J28" s="267">
        <f>H28-I28</f>
        <v>-119816198.50999999</v>
      </c>
      <c r="K28" s="268">
        <f>J28/I40</f>
        <v>-1.1815270297428444E-2</v>
      </c>
    </row>
    <row r="29" spans="1:13" ht="15.95" customHeight="1" x14ac:dyDescent="0.2">
      <c r="A29" s="269" t="s">
        <v>8</v>
      </c>
      <c r="B29" s="270">
        <f>15327734.42+7860906.54</f>
        <v>23188640.960000001</v>
      </c>
      <c r="C29" s="253">
        <f>C28*2</f>
        <v>445128333.33333331</v>
      </c>
      <c r="D29" s="249">
        <f>SUM(B28+B29)-C29</f>
        <v>-361381769.85333329</v>
      </c>
      <c r="E29" s="271">
        <f>493871212.51+24748324.26</f>
        <v>518619536.76999998</v>
      </c>
      <c r="F29" s="254">
        <f>F28*2</f>
        <v>884505666.66666663</v>
      </c>
      <c r="G29" s="249">
        <f>SUM(E28+E29)-F29</f>
        <v>100814517.45333326</v>
      </c>
      <c r="H29" s="256">
        <f t="shared" si="0"/>
        <v>731242193.18999994</v>
      </c>
      <c r="I29" s="254">
        <f>I28*2</f>
        <v>1690132000</v>
      </c>
      <c r="J29" s="249">
        <f>SUM(H28+H29)-I29</f>
        <v>-233640005.32000017</v>
      </c>
      <c r="K29" s="272">
        <f>J29/I40</f>
        <v>-2.3039621098628209E-2</v>
      </c>
    </row>
    <row r="30" spans="1:13" ht="15.95" customHeight="1" x14ac:dyDescent="0.2">
      <c r="A30" s="269" t="s">
        <v>9</v>
      </c>
      <c r="B30" s="273">
        <f>11102736.91+397437102.32</f>
        <v>408539839.23000002</v>
      </c>
      <c r="C30" s="254">
        <f>C28*3</f>
        <v>667692500</v>
      </c>
      <c r="D30" s="249">
        <f>SUM(B28+B29+B30)-C30</f>
        <v>-175406097.28999996</v>
      </c>
      <c r="E30" s="271">
        <f>253838580.11+53335135.21</f>
        <v>307173715.31999999</v>
      </c>
      <c r="F30" s="254">
        <f>F28*3</f>
        <v>1326758500</v>
      </c>
      <c r="G30" s="249">
        <f>SUM(E28+E29+E30)-F30</f>
        <v>-34264600.560000181</v>
      </c>
      <c r="H30" s="255">
        <f t="shared" si="0"/>
        <v>875426373.0999999</v>
      </c>
      <c r="I30" s="254">
        <f>I28*3</f>
        <v>2535198000</v>
      </c>
      <c r="J30" s="249">
        <f>SUM(H28+H29+H30)-I30</f>
        <v>-203279632.22000027</v>
      </c>
      <c r="K30" s="272">
        <f>J30/I40</f>
        <v>-2.0045735305487013E-2</v>
      </c>
    </row>
    <row r="31" spans="1:13" ht="15.95" customHeight="1" x14ac:dyDescent="0.2">
      <c r="A31" s="269" t="s">
        <v>10</v>
      </c>
      <c r="B31" s="270">
        <f>79641833.05+14765602.56</f>
        <v>94407435.609999999</v>
      </c>
      <c r="C31" s="253">
        <f>C28*4</f>
        <v>890256666.66666663</v>
      </c>
      <c r="D31" s="249">
        <f>SUM(B28+B29+B30+B31)-C31</f>
        <v>-303562828.34666657</v>
      </c>
      <c r="E31" s="274">
        <f>316153140.52+25981175.36</f>
        <v>342134315.88</v>
      </c>
      <c r="F31" s="253">
        <f>F28*4</f>
        <v>1769011333.3333333</v>
      </c>
      <c r="G31" s="249">
        <f>SUM(E28+E29+E30+E31)-F31</f>
        <v>-134383118.01333356</v>
      </c>
      <c r="H31" s="255">
        <f t="shared" si="0"/>
        <v>569104840.21000004</v>
      </c>
      <c r="I31" s="253">
        <f>I28*4</f>
        <v>3380264000</v>
      </c>
      <c r="J31" s="249">
        <f>SUM(H28+H29+H30+H31)-I31</f>
        <v>-479240792.01000023</v>
      </c>
      <c r="K31" s="272">
        <f>J31/I40</f>
        <v>-4.7258714310479913E-2</v>
      </c>
    </row>
    <row r="32" spans="1:13" ht="15.95" customHeight="1" x14ac:dyDescent="0.2">
      <c r="A32" s="269" t="s">
        <v>11</v>
      </c>
      <c r="B32" s="273">
        <f>26434470.05+26685911.03</f>
        <v>53120381.079999998</v>
      </c>
      <c r="C32" s="253">
        <f>C28*5</f>
        <v>1112820833.3333333</v>
      </c>
      <c r="D32" s="249">
        <f>SUM(B28+B29+B30+B31+B32)-C32</f>
        <v>-473006613.93333316</v>
      </c>
      <c r="E32" s="274">
        <f>536593449.58+29423377.36</f>
        <v>566016826.93999994</v>
      </c>
      <c r="F32" s="253">
        <f>F28*5</f>
        <v>2211264166.6666665</v>
      </c>
      <c r="G32" s="249">
        <f>SUM(E28+E29+E30+E31+E32)-F32</f>
        <v>-10619124.406666756</v>
      </c>
      <c r="H32" s="255">
        <f t="shared" si="0"/>
        <v>781596921.56999993</v>
      </c>
      <c r="I32" s="253">
        <f>I28*5</f>
        <v>4225330000</v>
      </c>
      <c r="J32" s="249">
        <f>SUM(H28+H29+H30+H31+H32)-I32</f>
        <v>-542709870.44000053</v>
      </c>
      <c r="K32" s="272">
        <f>J32/I40</f>
        <v>-5.3517503409990119E-2</v>
      </c>
    </row>
    <row r="33" spans="1:13" ht="15.95" customHeight="1" x14ac:dyDescent="0.2">
      <c r="A33" s="269" t="s">
        <v>12</v>
      </c>
      <c r="B33" s="270">
        <f>17958087.96+408142577.94</f>
        <v>426100665.89999998</v>
      </c>
      <c r="C33" s="253">
        <f>C28*6</f>
        <v>1335385000</v>
      </c>
      <c r="D33" s="249">
        <f>SUM(B28+B29+B30+B31+B32+B33)-C33</f>
        <v>-269470114.69999993</v>
      </c>
      <c r="E33" s="274">
        <f>337812834.41+23390592.92</f>
        <v>361203427.33000004</v>
      </c>
      <c r="F33" s="253">
        <f>F28*6</f>
        <v>2653517000</v>
      </c>
      <c r="G33" s="249">
        <f>SUM(E28+E29+E30+E31+E32+E33)-F33</f>
        <v>-91668530.410000324</v>
      </c>
      <c r="H33" s="255">
        <f t="shared" si="0"/>
        <v>980215890.58000004</v>
      </c>
      <c r="I33" s="253">
        <f>I28*6</f>
        <v>5070396000</v>
      </c>
      <c r="J33" s="249">
        <f>SUM(H28+H29+H30+H31+H32+H33)-I33</f>
        <v>-407559979.86000061</v>
      </c>
      <c r="K33" s="272">
        <f>J33/I40</f>
        <v>-4.0190152786882975E-2</v>
      </c>
    </row>
    <row r="34" spans="1:13" ht="15.95" customHeight="1" x14ac:dyDescent="0.2">
      <c r="A34" s="269" t="s">
        <v>13</v>
      </c>
      <c r="B34" s="273">
        <f>496551977.08+397231566.07</f>
        <v>893783543.14999998</v>
      </c>
      <c r="C34" s="253">
        <f>C28*7</f>
        <v>1557949166.6666665</v>
      </c>
      <c r="D34" s="249">
        <f>SUM(B28+B29+B30+B31+B32+B33+B34)-C34</f>
        <v>401749261.78333354</v>
      </c>
      <c r="E34" s="274">
        <f>435699717.34+24504318.32</f>
        <v>460204035.65999997</v>
      </c>
      <c r="F34" s="253">
        <f>F28*7</f>
        <v>3095769833.333333</v>
      </c>
      <c r="G34" s="249">
        <f>SUM(E28+E29+E30+E31+E32+E33+E34)-F34</f>
        <v>-73717328.083333492</v>
      </c>
      <c r="H34" s="255">
        <f t="shared" si="0"/>
        <v>1597096630.2999997</v>
      </c>
      <c r="I34" s="253">
        <f>I28*7</f>
        <v>5915462000</v>
      </c>
      <c r="J34" s="249">
        <f>SUM(H28+H29+H30+H31+H32+H33+H34)-I34</f>
        <v>344470650.43999863</v>
      </c>
      <c r="K34" s="272">
        <f>J34/I40</f>
        <v>3.3968811355168181E-2</v>
      </c>
    </row>
    <row r="35" spans="1:13" ht="15.95" customHeight="1" x14ac:dyDescent="0.2">
      <c r="A35" s="269" t="s">
        <v>14</v>
      </c>
      <c r="B35" s="270">
        <v>0</v>
      </c>
      <c r="C35" s="253">
        <f>C28*8</f>
        <v>1780513333.3333333</v>
      </c>
      <c r="D35" s="249">
        <f>SUM(B28+B29+B30+B31+B32+B33+B34+B35)-C35</f>
        <v>179185095.11666679</v>
      </c>
      <c r="E35" s="274">
        <f>516717178.64+27857887.03</f>
        <v>544575065.66999996</v>
      </c>
      <c r="F35" s="253">
        <f>F28*8</f>
        <v>3538022666.6666665</v>
      </c>
      <c r="G35" s="249">
        <f>SUM(E28+E29+E30+E31+E32+E33+E34+E35)-F35</f>
        <v>28604904.253333092</v>
      </c>
      <c r="H35" s="255">
        <f t="shared" si="0"/>
        <v>741378134.51999998</v>
      </c>
      <c r="I35" s="253">
        <f>I28*8</f>
        <v>6760528000</v>
      </c>
      <c r="J35" s="249">
        <f>SUM(H28+H29+H30+H31+H32+H33+H34+H35)-I35</f>
        <v>240782784.95999908</v>
      </c>
      <c r="K35" s="272">
        <f>J35/I40</f>
        <v>2.3743982221506869E-2</v>
      </c>
    </row>
    <row r="36" spans="1:13" ht="15.95" customHeight="1" x14ac:dyDescent="0.2">
      <c r="A36" s="269" t="s">
        <v>15</v>
      </c>
      <c r="B36" s="273">
        <f>351968612.04</f>
        <v>351968612.04000002</v>
      </c>
      <c r="C36" s="253">
        <f>C28*9</f>
        <v>2003077500</v>
      </c>
      <c r="D36" s="249">
        <f>SUM(B28+B29+B30+B31+B32+B33+B34+B35+B36)-C36</f>
        <v>308589540.49000025</v>
      </c>
      <c r="E36" s="274">
        <f>301801268.65</f>
        <v>301801268.64999998</v>
      </c>
      <c r="F36" s="253">
        <f>F28*9</f>
        <v>3980275500</v>
      </c>
      <c r="G36" s="249">
        <f>SUM(E28+E29+E30+E31+E32+E33+E34+E35+E36)-F36</f>
        <v>-111846660.43000031</v>
      </c>
      <c r="H36" s="255">
        <f t="shared" si="0"/>
        <v>846731560.52999997</v>
      </c>
      <c r="I36" s="253">
        <f>I28*9</f>
        <v>7605594000</v>
      </c>
      <c r="J36" s="249">
        <f>SUM(H28+H29+H30+H31+H32+H33+H34+H35+H36)-I36</f>
        <v>242448345.48999882</v>
      </c>
      <c r="K36" s="272">
        <f>J36/I40</f>
        <v>2.3908225855534638E-2</v>
      </c>
    </row>
    <row r="37" spans="1:13" ht="15.95" customHeight="1" x14ac:dyDescent="0.2">
      <c r="A37" s="269" t="s">
        <v>16</v>
      </c>
      <c r="B37" s="270">
        <f>56319113.11+36042280.78</f>
        <v>92361393.890000001</v>
      </c>
      <c r="C37" s="253">
        <f>C28*10</f>
        <v>2225641666.6666665</v>
      </c>
      <c r="D37" s="249">
        <f>SUM(B28+B29+B30+B31+B32+B33+B34+B35+B36+B37)-C37</f>
        <v>178386767.71333361</v>
      </c>
      <c r="E37" s="274">
        <f>352874068.51+29654948.44</f>
        <v>382529016.94999999</v>
      </c>
      <c r="F37" s="253">
        <f>F28*10</f>
        <v>4422528333.333333</v>
      </c>
      <c r="G37" s="249">
        <f>SUM(E28+E29+E30+E31+E32+E33+E34+E35+E36+E37)-F37</f>
        <v>-171570476.81333351</v>
      </c>
      <c r="H37" s="255">
        <f t="shared" si="0"/>
        <v>656625774.20000005</v>
      </c>
      <c r="I37" s="253">
        <f>I28*10</f>
        <v>8450660000</v>
      </c>
      <c r="J37" s="249">
        <f>SUM(H28+H29+H30+H31+H32+H33+H34+H35+H36+H37)-I37</f>
        <v>54008119.689998627</v>
      </c>
      <c r="K37" s="272">
        <f>J37/I40</f>
        <v>5.3258285634887916E-3</v>
      </c>
    </row>
    <row r="38" spans="1:13" ht="15.95" customHeight="1" x14ac:dyDescent="0.2">
      <c r="A38" s="269" t="s">
        <v>17</v>
      </c>
      <c r="B38" s="270">
        <f>58576090.59+20781969.62</f>
        <v>79358060.210000008</v>
      </c>
      <c r="C38" s="253">
        <f>C28*11</f>
        <v>2448205833.333333</v>
      </c>
      <c r="D38" s="249">
        <f>SUM(B28+B29+B30+B31+B32+B33+B34+B35+B36+B37+B38)-C38</f>
        <v>35180661.256667137</v>
      </c>
      <c r="E38" s="274">
        <f>511784286.91+23685599.26</f>
        <v>535469886.17000002</v>
      </c>
      <c r="F38" s="253">
        <f>F28*11</f>
        <v>4864781166.666666</v>
      </c>
      <c r="G38" s="249">
        <f>SUM(E28+E29+E30+E31+E32+E33+E34+E35+E36+E37+E38)-F38</f>
        <v>-78353423.976666451</v>
      </c>
      <c r="H38" s="255">
        <f t="shared" si="0"/>
        <v>819858852.82999992</v>
      </c>
      <c r="I38" s="253">
        <f>I28*11</f>
        <v>9295726000</v>
      </c>
      <c r="J38" s="249">
        <f>SUM(H28+H29+H30+H31+H32+H33+H34+H35+H36+H37+H38)-I38</f>
        <v>28800972.51999855</v>
      </c>
      <c r="K38" s="272">
        <f>J38/I40</f>
        <v>2.8401107645239692E-3</v>
      </c>
    </row>
    <row r="39" spans="1:13" ht="15.95" customHeight="1" thickBot="1" x14ac:dyDescent="0.25">
      <c r="A39" s="340" t="s">
        <v>18</v>
      </c>
      <c r="B39" s="335">
        <f>5958902.88+463828302.09</f>
        <v>469787204.96999997</v>
      </c>
      <c r="C39" s="332">
        <f>C28*12</f>
        <v>2670770000</v>
      </c>
      <c r="D39" s="410">
        <f>SUM(B28+B29+B30+B31+B32+B33+B34+B35+B36+B37+B38+B39)-C39</f>
        <v>282403699.55999994</v>
      </c>
      <c r="E39" s="337">
        <f>477965668.23+52014543.69</f>
        <v>529980211.92000002</v>
      </c>
      <c r="F39" s="332">
        <f>F28*12</f>
        <v>5307034000</v>
      </c>
      <c r="G39" s="249">
        <f>SUM(E28+E29+E30+E31+E32+E33+E34+E35+E36+E37+E38+E39)-F39</f>
        <v>9373954.6099996567</v>
      </c>
      <c r="H39" s="275">
        <f t="shared" si="0"/>
        <v>1251869068.6099999</v>
      </c>
      <c r="I39" s="338">
        <f>I28*12</f>
        <v>10140792000</v>
      </c>
      <c r="J39" s="411">
        <f>SUM(H28+H29+H30+H31+H32+H33+H34+H35+H36+H37+H38+H39)-I39</f>
        <v>435604041.12999916</v>
      </c>
      <c r="K39" s="272">
        <f>J39/I40</f>
        <v>4.2955623301414642E-2</v>
      </c>
    </row>
    <row r="40" spans="1:13" ht="15.95" customHeight="1" thickBot="1" x14ac:dyDescent="0.25">
      <c r="A40" s="257" t="s">
        <v>19</v>
      </c>
      <c r="B40" s="347">
        <f>SUM(B28:B39)</f>
        <v>2953173699.5599999</v>
      </c>
      <c r="C40" s="276">
        <f>2320770000+350000000</f>
        <v>2670770000</v>
      </c>
      <c r="D40" s="277"/>
      <c r="E40" s="345">
        <f>SUM(E28:E39)</f>
        <v>5316407954.6099997</v>
      </c>
      <c r="F40" s="258">
        <f>5607034000-300000000</f>
        <v>5307034000</v>
      </c>
      <c r="G40" s="278"/>
      <c r="H40" s="351">
        <f t="shared" si="0"/>
        <v>10576396041.130001</v>
      </c>
      <c r="I40" s="279">
        <f>C20+F20+I20+L20+C40+F40</f>
        <v>10140792000</v>
      </c>
      <c r="J40" s="280"/>
      <c r="K40" s="350"/>
    </row>
    <row r="41" spans="1:13" x14ac:dyDescent="0.2">
      <c r="A41" s="659" t="s">
        <v>183</v>
      </c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42:M42"/>
    <mergeCell ref="E26:E27"/>
    <mergeCell ref="F26:F27"/>
    <mergeCell ref="G26:G27"/>
    <mergeCell ref="H26:H27"/>
    <mergeCell ref="I26:I27"/>
    <mergeCell ref="J26:J2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DEF2C-3C8B-4BA2-8280-FC349299FE39}">
  <sheetPr>
    <tabColor theme="5" tint="-0.499984740745262"/>
  </sheetPr>
  <dimension ref="A1:S61"/>
  <sheetViews>
    <sheetView showGridLines="0" showRuler="0" view="pageBreakPreview" zoomScale="160" zoomScaleNormal="160" zoomScaleSheetLayoutView="160" zoomScalePageLayoutView="160" workbookViewId="0">
      <selection sqref="A1:O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679" t="s">
        <v>174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451"/>
      <c r="Q1" s="451"/>
      <c r="R1" s="452"/>
      <c r="S1" s="452"/>
    </row>
    <row r="2" spans="1:19" ht="20.25" x14ac:dyDescent="0.25">
      <c r="A2" s="681"/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/>
      <c r="Q2"/>
      <c r="R2"/>
      <c r="S2"/>
    </row>
    <row r="3" spans="1:19" ht="12.75" customHeight="1" x14ac:dyDescent="0.25">
      <c r="A3" s="59"/>
    </row>
    <row r="37" spans="1:19" ht="14.1" customHeight="1" x14ac:dyDescent="0.2">
      <c r="I37" s="719" t="s">
        <v>35</v>
      </c>
      <c r="J37" s="720"/>
      <c r="K37" s="720"/>
      <c r="L37" s="720"/>
      <c r="M37" s="720"/>
      <c r="N37" s="720"/>
      <c r="O37" s="720"/>
    </row>
    <row r="38" spans="1:19" ht="28.5" x14ac:dyDescent="0.45">
      <c r="A38" s="679" t="s">
        <v>175</v>
      </c>
      <c r="B38" s="680"/>
      <c r="C38" s="680"/>
      <c r="D38" s="680"/>
      <c r="E38" s="680"/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452"/>
      <c r="Q38" s="452"/>
      <c r="R38" s="452"/>
      <c r="S38" s="452"/>
    </row>
    <row r="39" spans="1:19" ht="20.25" x14ac:dyDescent="0.25">
      <c r="A39" s="681"/>
      <c r="B39" s="680"/>
      <c r="C39" s="680"/>
      <c r="D39" s="680"/>
      <c r="E39" s="680"/>
      <c r="F39" s="680"/>
      <c r="G39" s="680"/>
      <c r="H39" s="680"/>
      <c r="I39" s="680"/>
      <c r="J39" s="680"/>
      <c r="K39" s="680"/>
      <c r="L39" s="680"/>
      <c r="M39" s="680"/>
      <c r="N39" s="680"/>
      <c r="O39" s="680"/>
      <c r="P39"/>
      <c r="Q39"/>
      <c r="R39"/>
      <c r="S39"/>
    </row>
    <row r="61" spans="11:19" x14ac:dyDescent="0.2">
      <c r="K61" s="632"/>
      <c r="L61" s="633"/>
      <c r="M61" s="633"/>
      <c r="N61" s="633"/>
      <c r="O61" s="633"/>
      <c r="P61" s="633"/>
      <c r="Q61" s="633"/>
      <c r="R61" s="633"/>
      <c r="S61" s="633"/>
    </row>
  </sheetData>
  <mergeCells count="6">
    <mergeCell ref="K61:S61"/>
    <mergeCell ref="A1:O1"/>
    <mergeCell ref="A2:O2"/>
    <mergeCell ref="I37:O37"/>
    <mergeCell ref="A38:O38"/>
    <mergeCell ref="A39:O39"/>
  </mergeCells>
  <printOptions horizontalCentered="1"/>
  <pageMargins left="0.51181102362204722" right="0.51181102362204722" top="0.51181102362204722" bottom="0.51181102362204722" header="0.51181102362204722" footer="0.51181102362204722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EA4E-462A-4D58-B99E-ACB9F464CF17}">
  <sheetPr>
    <tabColor theme="5" tint="-0.499984740745262"/>
    <pageSetUpPr fitToPage="1"/>
  </sheetPr>
  <dimension ref="A1:N48"/>
  <sheetViews>
    <sheetView showGridLines="0" topLeftCell="A14" zoomScale="140" zoomScaleNormal="140" zoomScaleSheetLayoutView="140" workbookViewId="0">
      <selection sqref="A1:M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85" t="s">
        <v>176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20.25" x14ac:dyDescent="0.3">
      <c r="A2" s="638"/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67" t="s">
        <v>2</v>
      </c>
      <c r="B4" s="694" t="s">
        <v>154</v>
      </c>
      <c r="C4" s="696"/>
      <c r="D4" s="697"/>
      <c r="E4" s="701" t="s">
        <v>159</v>
      </c>
      <c r="F4" s="696"/>
      <c r="G4" s="697"/>
      <c r="H4" s="694" t="s">
        <v>155</v>
      </c>
      <c r="I4" s="696"/>
      <c r="J4" s="697"/>
      <c r="K4" s="688" t="s">
        <v>156</v>
      </c>
      <c r="L4" s="696"/>
      <c r="M4" s="697"/>
      <c r="N4" s="73"/>
    </row>
    <row r="5" spans="1:14" ht="14.45" customHeight="1" thickBot="1" x14ac:dyDescent="0.25">
      <c r="A5" s="645"/>
      <c r="B5" s="698"/>
      <c r="C5" s="699"/>
      <c r="D5" s="700"/>
      <c r="E5" s="698"/>
      <c r="F5" s="699"/>
      <c r="G5" s="700"/>
      <c r="H5" s="698"/>
      <c r="I5" s="699"/>
      <c r="J5" s="700"/>
      <c r="K5" s="698"/>
      <c r="L5" s="699"/>
      <c r="M5" s="700"/>
      <c r="N5" s="71"/>
    </row>
    <row r="6" spans="1:14" ht="14.45" customHeight="1" x14ac:dyDescent="0.2">
      <c r="A6" s="645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84" t="s">
        <v>6</v>
      </c>
      <c r="I6" s="557" t="s">
        <v>31</v>
      </c>
      <c r="J6" s="559" t="s">
        <v>32</v>
      </c>
      <c r="K6" s="584" t="s">
        <v>23</v>
      </c>
      <c r="L6" s="557" t="s">
        <v>31</v>
      </c>
      <c r="M6" s="559" t="s">
        <v>32</v>
      </c>
    </row>
    <row r="7" spans="1:14" ht="14.45" customHeight="1" thickBot="1" x14ac:dyDescent="0.25">
      <c r="A7" s="646"/>
      <c r="B7" s="636"/>
      <c r="C7" s="635"/>
      <c r="D7" s="634"/>
      <c r="E7" s="636"/>
      <c r="F7" s="635"/>
      <c r="G7" s="634"/>
      <c r="H7" s="636"/>
      <c r="I7" s="635"/>
      <c r="J7" s="634"/>
      <c r="K7" s="636"/>
      <c r="L7" s="635"/>
      <c r="M7" s="634"/>
    </row>
    <row r="8" spans="1:14" ht="15.95" customHeight="1" x14ac:dyDescent="0.2">
      <c r="A8" s="245" t="s">
        <v>7</v>
      </c>
      <c r="B8" s="247">
        <f>58961356.65+90045465.75</f>
        <v>149006822.40000001</v>
      </c>
      <c r="C8" s="248">
        <f>C20/12</f>
        <v>131452166.66666667</v>
      </c>
      <c r="D8" s="249">
        <f>B8-C8</f>
        <v>17554655.733333334</v>
      </c>
      <c r="E8" s="250">
        <f>3631627.12+5546201.45</f>
        <v>9177828.5700000003</v>
      </c>
      <c r="F8" s="248">
        <f>F20/12</f>
        <v>8098833.333333333</v>
      </c>
      <c r="G8" s="249">
        <f>E8-F8</f>
        <v>1078995.2366666673</v>
      </c>
      <c r="H8" s="250">
        <f>6395147.52+1704807.13</f>
        <v>8099954.6499999994</v>
      </c>
      <c r="I8" s="248">
        <f>I20/12</f>
        <v>9829666.666666666</v>
      </c>
      <c r="J8" s="251">
        <f>H8-I8</f>
        <v>-1729712.0166666666</v>
      </c>
      <c r="K8" s="250">
        <f>23894012.94+7812613.06</f>
        <v>31706626</v>
      </c>
      <c r="L8" s="248">
        <f>L20/12</f>
        <v>30868333.333333332</v>
      </c>
      <c r="M8" s="251">
        <f>K8-L8</f>
        <v>838292.66666666791</v>
      </c>
    </row>
    <row r="9" spans="1:14" ht="15.95" customHeight="1" x14ac:dyDescent="0.2">
      <c r="A9" s="246" t="s">
        <v>8</v>
      </c>
      <c r="B9" s="252">
        <f>63683503.09+78985272.78+B8</f>
        <v>291675598.26999998</v>
      </c>
      <c r="C9" s="253">
        <f>C8*2</f>
        <v>262904333.33333334</v>
      </c>
      <c r="D9" s="249">
        <f>B9-C9</f>
        <v>28771264.936666638</v>
      </c>
      <c r="E9" s="247">
        <f>3922479.91+4864967.13+E8</f>
        <v>17965275.609999999</v>
      </c>
      <c r="F9" s="253">
        <f>F8*2</f>
        <v>16197666.666666666</v>
      </c>
      <c r="G9" s="249">
        <f t="shared" ref="G9:G19" si="0">E9-F9</f>
        <v>1767608.9433333334</v>
      </c>
      <c r="H9" s="247">
        <f>2429932.69+2835785.51+H8</f>
        <v>13365672.849999998</v>
      </c>
      <c r="I9" s="253">
        <f>I8*2</f>
        <v>19659333.333333332</v>
      </c>
      <c r="J9" s="249">
        <f t="shared" ref="J9:J19" si="1">H9-I9</f>
        <v>-6293660.4833333343</v>
      </c>
      <c r="K9" s="252">
        <f>25410927.54+7301146.81+K8</f>
        <v>64418700.349999994</v>
      </c>
      <c r="L9" s="253">
        <f>L8*2</f>
        <v>61736666.666666664</v>
      </c>
      <c r="M9" s="249">
        <f t="shared" ref="M9:M19" si="2">K9-L9</f>
        <v>2682033.6833333299</v>
      </c>
    </row>
    <row r="10" spans="1:14" ht="15.95" customHeight="1" x14ac:dyDescent="0.2">
      <c r="A10" s="246" t="s">
        <v>9</v>
      </c>
      <c r="B10" s="252">
        <f>48921430.98+65505585.08+B9</f>
        <v>406102614.32999998</v>
      </c>
      <c r="C10" s="253">
        <f>C8*3</f>
        <v>394356500</v>
      </c>
      <c r="D10" s="249">
        <f>B10-C10</f>
        <v>11746114.329999983</v>
      </c>
      <c r="E10" s="247">
        <f>3013234.52+4034708.05+E9</f>
        <v>25013218.18</v>
      </c>
      <c r="F10" s="254">
        <f>F8*3</f>
        <v>24296500</v>
      </c>
      <c r="G10" s="249">
        <f t="shared" si="0"/>
        <v>716718.1799999997</v>
      </c>
      <c r="H10" s="247">
        <f>4758569.85+7843964.22+H9</f>
        <v>25968206.919999998</v>
      </c>
      <c r="I10" s="254">
        <f>I8*3</f>
        <v>29489000</v>
      </c>
      <c r="J10" s="249">
        <f t="shared" si="1"/>
        <v>-3520793.0800000019</v>
      </c>
      <c r="K10" s="252">
        <f>16950123.36+8685202.49+K9</f>
        <v>90054026.199999988</v>
      </c>
      <c r="L10" s="254">
        <f>L8*3</f>
        <v>92605000</v>
      </c>
      <c r="M10" s="249">
        <f t="shared" si="2"/>
        <v>-2550973.8000000119</v>
      </c>
    </row>
    <row r="11" spans="1:14" ht="15.95" customHeight="1" x14ac:dyDescent="0.2">
      <c r="A11" s="246" t="s">
        <v>10</v>
      </c>
      <c r="B11" s="252">
        <f>38459190.63+60811499.95+B10</f>
        <v>505373304.90999997</v>
      </c>
      <c r="C11" s="253">
        <f>C8*4</f>
        <v>525808666.66666669</v>
      </c>
      <c r="D11" s="249">
        <f t="shared" ref="D11:D19" si="3">B11-C11</f>
        <v>-20435361.75666672</v>
      </c>
      <c r="E11" s="247">
        <f>2368830.2+3745583.66+E10</f>
        <v>31127632.039999999</v>
      </c>
      <c r="F11" s="253">
        <f>F8*4</f>
        <v>32395333.333333332</v>
      </c>
      <c r="G11" s="249">
        <f t="shared" si="0"/>
        <v>-1267701.293333333</v>
      </c>
      <c r="H11" s="247">
        <f t="shared" ref="H11:H15" si="4">0+H10</f>
        <v>25968206.919999998</v>
      </c>
      <c r="I11" s="253">
        <f>I8*4</f>
        <v>39318666.666666664</v>
      </c>
      <c r="J11" s="249">
        <f t="shared" si="1"/>
        <v>-13350459.746666666</v>
      </c>
      <c r="K11" s="252">
        <f>19446183.28+7731801+K10</f>
        <v>117232010.47999999</v>
      </c>
      <c r="L11" s="253">
        <f>L8*4</f>
        <v>123473333.33333333</v>
      </c>
      <c r="M11" s="249">
        <f t="shared" si="2"/>
        <v>-6241322.8533333391</v>
      </c>
    </row>
    <row r="12" spans="1:14" ht="15.95" customHeight="1" x14ac:dyDescent="0.2">
      <c r="A12" s="246" t="s">
        <v>11</v>
      </c>
      <c r="B12" s="252">
        <f>40377085.89+84967771.26+B11</f>
        <v>630718162.05999994</v>
      </c>
      <c r="C12" s="253">
        <f>C8*5</f>
        <v>657260833.33333337</v>
      </c>
      <c r="D12" s="249">
        <f t="shared" si="3"/>
        <v>-26542671.27333343</v>
      </c>
      <c r="E12" s="247">
        <f>2486959.76+5233449.16+E11</f>
        <v>38848040.960000001</v>
      </c>
      <c r="F12" s="253">
        <f>F8*5</f>
        <v>40494166.666666664</v>
      </c>
      <c r="G12" s="249">
        <f t="shared" si="0"/>
        <v>-1646125.7066666633</v>
      </c>
      <c r="H12" s="247">
        <f t="shared" si="4"/>
        <v>25968206.919999998</v>
      </c>
      <c r="I12" s="253">
        <f>I8*5</f>
        <v>49148333.333333328</v>
      </c>
      <c r="J12" s="249">
        <f t="shared" si="1"/>
        <v>-23180126.41333333</v>
      </c>
      <c r="K12" s="252">
        <f>19358353.13+10036094.35+K11</f>
        <v>146626457.95999998</v>
      </c>
      <c r="L12" s="253">
        <f>L8*5</f>
        <v>154341666.66666666</v>
      </c>
      <c r="M12" s="249">
        <f>K12-L12</f>
        <v>-7715208.7066666782</v>
      </c>
    </row>
    <row r="13" spans="1:14" ht="15.95" customHeight="1" x14ac:dyDescent="0.2">
      <c r="A13" s="246" t="s">
        <v>12</v>
      </c>
      <c r="B13" s="252">
        <f>56846438.3+92996412.69+B12</f>
        <v>780561013.04999995</v>
      </c>
      <c r="C13" s="253">
        <f>C8*6</f>
        <v>788713000</v>
      </c>
      <c r="D13" s="249">
        <f t="shared" si="3"/>
        <v>-8151986.9500000477</v>
      </c>
      <c r="E13" s="247">
        <f>3501362.27+5727960.06+E12</f>
        <v>48077363.289999999</v>
      </c>
      <c r="F13" s="253">
        <f>F8*6</f>
        <v>48593000</v>
      </c>
      <c r="G13" s="249">
        <f t="shared" si="0"/>
        <v>-515636.71000000089</v>
      </c>
      <c r="H13" s="247">
        <f t="shared" si="4"/>
        <v>25968206.919999998</v>
      </c>
      <c r="I13" s="253">
        <f>I8*6</f>
        <v>58978000</v>
      </c>
      <c r="J13" s="249">
        <f t="shared" si="1"/>
        <v>-33009793.080000002</v>
      </c>
      <c r="K13" s="252">
        <f>21983433.13+11856190.9+K12</f>
        <v>180466081.98999998</v>
      </c>
      <c r="L13" s="253">
        <f>L8*6</f>
        <v>185210000</v>
      </c>
      <c r="M13" s="249">
        <f t="shared" si="2"/>
        <v>-4743918.0100000203</v>
      </c>
    </row>
    <row r="14" spans="1:14" ht="15.95" customHeight="1" x14ac:dyDescent="0.2">
      <c r="A14" s="246" t="s">
        <v>13</v>
      </c>
      <c r="B14" s="252">
        <f>56770809.51+92944813.32+B13</f>
        <v>930276635.87999988</v>
      </c>
      <c r="C14" s="253">
        <f>C8*7</f>
        <v>920165166.66666675</v>
      </c>
      <c r="D14" s="249">
        <f t="shared" si="3"/>
        <v>10111469.21333313</v>
      </c>
      <c r="E14" s="247">
        <f>3496704.04+5724781.89+E13</f>
        <v>57298849.219999999</v>
      </c>
      <c r="F14" s="253">
        <f>F8*7</f>
        <v>56691833.333333328</v>
      </c>
      <c r="G14" s="249">
        <f t="shared" si="0"/>
        <v>607015.88666667044</v>
      </c>
      <c r="H14" s="247">
        <f>14714947.53+28120959.46+H13</f>
        <v>68804113.909999996</v>
      </c>
      <c r="I14" s="253">
        <f>I8*7</f>
        <v>68807666.666666657</v>
      </c>
      <c r="J14" s="249">
        <f t="shared" si="1"/>
        <v>-3552.7566666603088</v>
      </c>
      <c r="K14" s="252">
        <f>30853468.41+10482567.33+K13</f>
        <v>221802117.72999999</v>
      </c>
      <c r="L14" s="253">
        <f>L8*7</f>
        <v>216078333.33333331</v>
      </c>
      <c r="M14" s="249">
        <f t="shared" si="2"/>
        <v>5723784.3966666758</v>
      </c>
    </row>
    <row r="15" spans="1:14" ht="15.95" customHeight="1" x14ac:dyDescent="0.2">
      <c r="A15" s="246" t="s">
        <v>14</v>
      </c>
      <c r="B15" s="252">
        <f>58224740.96+89529900.81+B14</f>
        <v>1078031277.6499999</v>
      </c>
      <c r="C15" s="253">
        <f>C8*8</f>
        <v>1051617333.3333334</v>
      </c>
      <c r="D15" s="249">
        <f t="shared" si="3"/>
        <v>26413944.316666484</v>
      </c>
      <c r="E15" s="247">
        <f>3586256.5+5514446.03+E14</f>
        <v>66399551.75</v>
      </c>
      <c r="F15" s="253">
        <f>F8*8</f>
        <v>64790666.666666664</v>
      </c>
      <c r="G15" s="249">
        <f t="shared" si="0"/>
        <v>1608885.0833333358</v>
      </c>
      <c r="H15" s="247">
        <f t="shared" si="4"/>
        <v>68804113.909999996</v>
      </c>
      <c r="I15" s="253">
        <f>I8*8</f>
        <v>78637333.333333328</v>
      </c>
      <c r="J15" s="249">
        <f t="shared" si="1"/>
        <v>-9833219.4233333319</v>
      </c>
      <c r="K15" s="252">
        <f>27988446.15+11959278.4+K14</f>
        <v>261749842.27999997</v>
      </c>
      <c r="L15" s="253">
        <f>L8*8</f>
        <v>246946666.66666666</v>
      </c>
      <c r="M15" s="249">
        <f t="shared" si="2"/>
        <v>14803175.613333315</v>
      </c>
    </row>
    <row r="16" spans="1:14" ht="15.95" customHeight="1" x14ac:dyDescent="0.2">
      <c r="A16" s="246" t="s">
        <v>15</v>
      </c>
      <c r="B16" s="252">
        <f>55320957.11+62515585.08+B15</f>
        <v>1195867819.8399999</v>
      </c>
      <c r="C16" s="253">
        <f>C8*9</f>
        <v>1183069500</v>
      </c>
      <c r="D16" s="249">
        <f t="shared" si="3"/>
        <v>12798319.839999914</v>
      </c>
      <c r="E16" s="247">
        <f>3407402.74+6171142.77+E15</f>
        <v>75978097.260000005</v>
      </c>
      <c r="F16" s="253">
        <f>F8*9</f>
        <v>72889500</v>
      </c>
      <c r="G16" s="249">
        <f t="shared" si="0"/>
        <v>3088597.2600000054</v>
      </c>
      <c r="H16" s="247">
        <f>20174749.62+H15</f>
        <v>88978863.530000001</v>
      </c>
      <c r="I16" s="253">
        <f>I8*9</f>
        <v>88467000</v>
      </c>
      <c r="J16" s="249">
        <f t="shared" si="1"/>
        <v>511863.53000000119</v>
      </c>
      <c r="K16" s="252">
        <f>41131559.91+4240282.61+K15</f>
        <v>307121684.79999995</v>
      </c>
      <c r="L16" s="253">
        <f>L8*9</f>
        <v>277815000</v>
      </c>
      <c r="M16" s="249">
        <f t="shared" si="2"/>
        <v>29306684.799999952</v>
      </c>
    </row>
    <row r="17" spans="1:13" ht="15.95" customHeight="1" x14ac:dyDescent="0.2">
      <c r="A17" s="246" t="s">
        <v>16</v>
      </c>
      <c r="B17" s="252">
        <f>50660014.32+80977778.12+B16</f>
        <v>1327505612.28</v>
      </c>
      <c r="C17" s="253">
        <f>C8*10</f>
        <v>1314521666.6666667</v>
      </c>
      <c r="D17" s="249">
        <f t="shared" si="3"/>
        <v>12983945.613333225</v>
      </c>
      <c r="E17" s="247">
        <f>3223724.47+5152980.13+E16</f>
        <v>84354801.859999999</v>
      </c>
      <c r="F17" s="253">
        <f>F8*10</f>
        <v>80988333.333333328</v>
      </c>
      <c r="G17" s="249">
        <f t="shared" si="0"/>
        <v>3366468.526666671</v>
      </c>
      <c r="H17" s="247">
        <f>5169922.77+4403283.66+H16</f>
        <v>98552069.960000008</v>
      </c>
      <c r="I17" s="253">
        <f>I8*10</f>
        <v>98296666.666666657</v>
      </c>
      <c r="J17" s="249">
        <f t="shared" si="1"/>
        <v>255403.29333335161</v>
      </c>
      <c r="K17" s="252">
        <f>22959634.49+9188025.4+K16</f>
        <v>339269344.68999994</v>
      </c>
      <c r="L17" s="253">
        <f>L8*10</f>
        <v>308683333.33333331</v>
      </c>
      <c r="M17" s="249">
        <f t="shared" si="2"/>
        <v>30586011.356666625</v>
      </c>
    </row>
    <row r="18" spans="1:13" ht="15.95" customHeight="1" x14ac:dyDescent="0.2">
      <c r="A18" s="246" t="s">
        <v>17</v>
      </c>
      <c r="B18" s="252">
        <f>57687498.52+94693262.96+B17</f>
        <v>1479886373.76</v>
      </c>
      <c r="C18" s="253">
        <f>C8*11</f>
        <v>1445973833.3333335</v>
      </c>
      <c r="D18" s="249">
        <f t="shared" si="3"/>
        <v>33912540.426666498</v>
      </c>
      <c r="E18" s="247">
        <f>3670914.93+6025758.08+E17</f>
        <v>94051474.870000005</v>
      </c>
      <c r="F18" s="253">
        <f>F8*11</f>
        <v>89087166.666666657</v>
      </c>
      <c r="G18" s="249">
        <f t="shared" si="0"/>
        <v>4964308.203333348</v>
      </c>
      <c r="H18" s="247">
        <f>4333721.88+3928949.82+H17</f>
        <v>106814741.66000001</v>
      </c>
      <c r="I18" s="253">
        <f>I8*11</f>
        <v>108126333.33333333</v>
      </c>
      <c r="J18" s="249">
        <f t="shared" si="1"/>
        <v>-1311591.673333317</v>
      </c>
      <c r="K18" s="252">
        <f>24706917.16+9983883.1+K17</f>
        <v>373960144.94999993</v>
      </c>
      <c r="L18" s="253">
        <f>L8*11</f>
        <v>339551666.66666663</v>
      </c>
      <c r="M18" s="249">
        <f t="shared" si="2"/>
        <v>34408478.283333302</v>
      </c>
    </row>
    <row r="19" spans="1:13" ht="15.95" customHeight="1" thickBot="1" x14ac:dyDescent="0.25">
      <c r="A19" s="339" t="s">
        <v>18</v>
      </c>
      <c r="B19" s="252">
        <f>49746731.58+123616716.3+B18</f>
        <v>1653249821.6399999</v>
      </c>
      <c r="C19" s="332">
        <f>C8*12</f>
        <v>1577426000</v>
      </c>
      <c r="D19" s="249">
        <f t="shared" si="3"/>
        <v>75823821.639999866</v>
      </c>
      <c r="E19" s="247">
        <f>3165608.18+7866287.48+E18</f>
        <v>105083370.53</v>
      </c>
      <c r="F19" s="332">
        <f>F8*12</f>
        <v>97186000</v>
      </c>
      <c r="G19" s="249">
        <f t="shared" si="0"/>
        <v>7897370.5300000012</v>
      </c>
      <c r="H19" s="247">
        <f>2351684.61+31978757.17+H18</f>
        <v>141145183.44</v>
      </c>
      <c r="I19" s="332">
        <f>I8*12</f>
        <v>117956000</v>
      </c>
      <c r="J19" s="249">
        <f t="shared" si="1"/>
        <v>23189183.439999998</v>
      </c>
      <c r="K19" s="252">
        <f>21164225.14+12211641.26+K18</f>
        <v>407336011.3499999</v>
      </c>
      <c r="L19" s="332">
        <f>L8*12</f>
        <v>370420000</v>
      </c>
      <c r="M19" s="249">
        <f t="shared" si="2"/>
        <v>36916011.349999905</v>
      </c>
    </row>
    <row r="20" spans="1:13" ht="15.95" customHeight="1" thickBot="1" x14ac:dyDescent="0.25">
      <c r="A20" s="257" t="s">
        <v>19</v>
      </c>
      <c r="B20" s="345">
        <f>B19</f>
        <v>1653249821.6399999</v>
      </c>
      <c r="C20" s="258">
        <f>1502069000+75357000</f>
        <v>1577426000</v>
      </c>
      <c r="D20" s="259"/>
      <c r="E20" s="345">
        <f>E19</f>
        <v>105083370.53</v>
      </c>
      <c r="F20" s="258">
        <f>92543000+4643000</f>
        <v>97186000</v>
      </c>
      <c r="G20" s="260"/>
      <c r="H20" s="345">
        <f>H19</f>
        <v>141145183.44</v>
      </c>
      <c r="I20" s="258">
        <v>117956000</v>
      </c>
      <c r="J20" s="260"/>
      <c r="K20" s="345">
        <f>K19</f>
        <v>407336011.3499999</v>
      </c>
      <c r="L20" s="258">
        <f>300420000+70000000</f>
        <v>370420000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67" t="s">
        <v>2</v>
      </c>
      <c r="B24" s="688" t="s">
        <v>157</v>
      </c>
      <c r="C24" s="689"/>
      <c r="D24" s="690"/>
      <c r="E24" s="694" t="s">
        <v>158</v>
      </c>
      <c r="F24" s="689"/>
      <c r="G24" s="690"/>
      <c r="H24" s="695" t="s">
        <v>22</v>
      </c>
      <c r="I24" s="689"/>
      <c r="J24" s="690"/>
      <c r="K24" s="370"/>
    </row>
    <row r="25" spans="1:13" ht="14.45" customHeight="1" thickBot="1" x14ac:dyDescent="0.25">
      <c r="A25" s="645"/>
      <c r="B25" s="691"/>
      <c r="C25" s="692"/>
      <c r="D25" s="693"/>
      <c r="E25" s="691"/>
      <c r="F25" s="692"/>
      <c r="G25" s="693"/>
      <c r="H25" s="691"/>
      <c r="I25" s="692"/>
      <c r="J25" s="693"/>
      <c r="K25" s="370"/>
    </row>
    <row r="26" spans="1:13" ht="14.45" customHeight="1" x14ac:dyDescent="0.2">
      <c r="A26" s="645"/>
      <c r="B26" s="563" t="s">
        <v>24</v>
      </c>
      <c r="C26" s="557" t="s">
        <v>31</v>
      </c>
      <c r="D26" s="559" t="s">
        <v>32</v>
      </c>
      <c r="E26" s="563" t="s">
        <v>25</v>
      </c>
      <c r="F26" s="557" t="s">
        <v>31</v>
      </c>
      <c r="G26" s="559" t="s">
        <v>32</v>
      </c>
      <c r="H26" s="566" t="s">
        <v>19</v>
      </c>
      <c r="I26" s="557" t="s">
        <v>31</v>
      </c>
      <c r="J26" s="559" t="s">
        <v>32</v>
      </c>
      <c r="K26" s="553" t="s">
        <v>148</v>
      </c>
    </row>
    <row r="27" spans="1:13" ht="14.45" customHeight="1" thickBot="1" x14ac:dyDescent="0.25">
      <c r="A27" s="646"/>
      <c r="B27" s="655"/>
      <c r="C27" s="635"/>
      <c r="D27" s="634"/>
      <c r="E27" s="655"/>
      <c r="F27" s="654"/>
      <c r="G27" s="634"/>
      <c r="H27" s="636"/>
      <c r="I27" s="635"/>
      <c r="J27" s="634"/>
      <c r="K27" s="653"/>
    </row>
    <row r="28" spans="1:13" ht="15.95" customHeight="1" x14ac:dyDescent="0.2">
      <c r="A28" s="261" t="s">
        <v>7</v>
      </c>
      <c r="B28" s="262">
        <f>56911199.59+3646722.93</f>
        <v>60557922.520000003</v>
      </c>
      <c r="C28" s="248">
        <f>C40/12</f>
        <v>222564166.66666666</v>
      </c>
      <c r="D28" s="251">
        <f>B28-C28</f>
        <v>-162006244.14666665</v>
      </c>
      <c r="E28" s="263">
        <f>427258733.28+39441914.07</f>
        <v>466700647.34999996</v>
      </c>
      <c r="F28" s="264">
        <f>F40/12</f>
        <v>442252833.33333331</v>
      </c>
      <c r="G28" s="265">
        <f>E28-F28</f>
        <v>24447814.016666651</v>
      </c>
      <c r="H28" s="266">
        <f t="shared" ref="H28:H40" si="5">$B8+$E8+$H8+$K8+$B28+$E28</f>
        <v>725249801.49000001</v>
      </c>
      <c r="I28" s="264">
        <f>I40/12</f>
        <v>845066000</v>
      </c>
      <c r="J28" s="267">
        <f>H28-I28</f>
        <v>-119816198.50999999</v>
      </c>
      <c r="K28" s="268">
        <f>J28/I40</f>
        <v>-1.1815270297428444E-2</v>
      </c>
    </row>
    <row r="29" spans="1:13" ht="15.95" customHeight="1" x14ac:dyDescent="0.2">
      <c r="A29" s="269" t="s">
        <v>8</v>
      </c>
      <c r="B29" s="270">
        <f>15327734.42+7860906.54+B28</f>
        <v>83746563.480000004</v>
      </c>
      <c r="C29" s="253">
        <f>C28*2</f>
        <v>445128333.33333331</v>
      </c>
      <c r="D29" s="249">
        <f t="shared" ref="D29:D39" si="6">B29-C29</f>
        <v>-361381769.85333329</v>
      </c>
      <c r="E29" s="271">
        <f>493871212.51+24748324.26+E28</f>
        <v>985320184.11999989</v>
      </c>
      <c r="F29" s="254">
        <f>F28*2</f>
        <v>884505666.66666663</v>
      </c>
      <c r="G29" s="249">
        <f t="shared" ref="G29:G39" si="7">E29-F29</f>
        <v>100814517.45333326</v>
      </c>
      <c r="H29" s="256">
        <f t="shared" si="5"/>
        <v>1456491994.6799998</v>
      </c>
      <c r="I29" s="254">
        <f>I28*2</f>
        <v>1690132000</v>
      </c>
      <c r="J29" s="249">
        <f t="shared" ref="J29:J39" si="8">H29-I29</f>
        <v>-233640005.32000017</v>
      </c>
      <c r="K29" s="272">
        <f>J29/I40</f>
        <v>-2.3039621098628209E-2</v>
      </c>
    </row>
    <row r="30" spans="1:13" ht="15.95" customHeight="1" x14ac:dyDescent="0.2">
      <c r="A30" s="269" t="s">
        <v>9</v>
      </c>
      <c r="B30" s="270">
        <f>11102736.91+397437102.32+B29</f>
        <v>492286402.71000004</v>
      </c>
      <c r="C30" s="254">
        <f>C28*3</f>
        <v>667692500</v>
      </c>
      <c r="D30" s="249">
        <f t="shared" si="6"/>
        <v>-175406097.28999996</v>
      </c>
      <c r="E30" s="271">
        <f>253838580.11+53335135.21+E29</f>
        <v>1292493899.4399998</v>
      </c>
      <c r="F30" s="254">
        <f>F28*3</f>
        <v>1326758500</v>
      </c>
      <c r="G30" s="249">
        <f t="shared" si="7"/>
        <v>-34264600.560000181</v>
      </c>
      <c r="H30" s="255">
        <f t="shared" si="5"/>
        <v>2331918367.7799997</v>
      </c>
      <c r="I30" s="254">
        <f>I28*3</f>
        <v>2535198000</v>
      </c>
      <c r="J30" s="249">
        <f t="shared" si="8"/>
        <v>-203279632.22000027</v>
      </c>
      <c r="K30" s="272">
        <f>J30/I40</f>
        <v>-2.0045735305487013E-2</v>
      </c>
    </row>
    <row r="31" spans="1:13" ht="15.95" customHeight="1" x14ac:dyDescent="0.2">
      <c r="A31" s="269" t="s">
        <v>10</v>
      </c>
      <c r="B31" s="270">
        <f>79641833.05+14765602.56+B30</f>
        <v>586693838.32000005</v>
      </c>
      <c r="C31" s="253">
        <f>C28*4</f>
        <v>890256666.66666663</v>
      </c>
      <c r="D31" s="249">
        <f t="shared" si="6"/>
        <v>-303562828.34666657</v>
      </c>
      <c r="E31" s="271">
        <f>316153140.52+25981175.36+E30</f>
        <v>1634628215.3199997</v>
      </c>
      <c r="F31" s="253">
        <f>F28*4</f>
        <v>1769011333.3333333</v>
      </c>
      <c r="G31" s="249">
        <f t="shared" si="7"/>
        <v>-134383118.01333356</v>
      </c>
      <c r="H31" s="255">
        <f t="shared" si="5"/>
        <v>2901023207.9899998</v>
      </c>
      <c r="I31" s="253">
        <f>I28*4</f>
        <v>3380264000</v>
      </c>
      <c r="J31" s="249">
        <f t="shared" si="8"/>
        <v>-479240792.01000023</v>
      </c>
      <c r="K31" s="272">
        <f>J31/I40</f>
        <v>-4.7258714310479913E-2</v>
      </c>
    </row>
    <row r="32" spans="1:13" ht="15.95" customHeight="1" x14ac:dyDescent="0.2">
      <c r="A32" s="269" t="s">
        <v>11</v>
      </c>
      <c r="B32" s="270">
        <f>26434470.05+26685911.03+B31</f>
        <v>639814219.4000001</v>
      </c>
      <c r="C32" s="253">
        <f>C28*5</f>
        <v>1112820833.3333333</v>
      </c>
      <c r="D32" s="249">
        <f t="shared" si="6"/>
        <v>-473006613.93333316</v>
      </c>
      <c r="E32" s="271">
        <f>536593449.58+29423377.36+E31</f>
        <v>2200645042.2599998</v>
      </c>
      <c r="F32" s="253">
        <f>F28*5</f>
        <v>2211264166.6666665</v>
      </c>
      <c r="G32" s="249">
        <f t="shared" si="7"/>
        <v>-10619124.406666756</v>
      </c>
      <c r="H32" s="255">
        <f t="shared" si="5"/>
        <v>3682620129.5599995</v>
      </c>
      <c r="I32" s="253">
        <f>I28*5</f>
        <v>4225330000</v>
      </c>
      <c r="J32" s="249">
        <f t="shared" si="8"/>
        <v>-542709870.44000053</v>
      </c>
      <c r="K32" s="272">
        <f>J32/I40</f>
        <v>-5.3517503409990119E-2</v>
      </c>
    </row>
    <row r="33" spans="1:13" ht="15.95" customHeight="1" x14ac:dyDescent="0.2">
      <c r="A33" s="269" t="s">
        <v>12</v>
      </c>
      <c r="B33" s="270">
        <f>17958087.96+408142577.94+B32</f>
        <v>1065914885.3000001</v>
      </c>
      <c r="C33" s="253">
        <f>C28*6</f>
        <v>1335385000</v>
      </c>
      <c r="D33" s="249">
        <f t="shared" si="6"/>
        <v>-269470114.69999993</v>
      </c>
      <c r="E33" s="271">
        <f>337812834.41+23390592.92+E32</f>
        <v>2561848469.5899997</v>
      </c>
      <c r="F33" s="253">
        <f>F28*6</f>
        <v>2653517000</v>
      </c>
      <c r="G33" s="249">
        <f t="shared" si="7"/>
        <v>-91668530.410000324</v>
      </c>
      <c r="H33" s="255">
        <f t="shared" si="5"/>
        <v>4662836020.1399994</v>
      </c>
      <c r="I33" s="253">
        <f>I28*6</f>
        <v>5070396000</v>
      </c>
      <c r="J33" s="249">
        <f t="shared" si="8"/>
        <v>-407559979.86000061</v>
      </c>
      <c r="K33" s="272">
        <f>J33/I40</f>
        <v>-4.0190152786882975E-2</v>
      </c>
    </row>
    <row r="34" spans="1:13" ht="15.95" customHeight="1" x14ac:dyDescent="0.2">
      <c r="A34" s="269" t="s">
        <v>13</v>
      </c>
      <c r="B34" s="270">
        <f>496551977.08+397231566.07+B33</f>
        <v>1959698428.45</v>
      </c>
      <c r="C34" s="253">
        <f>C28*7</f>
        <v>1557949166.6666665</v>
      </c>
      <c r="D34" s="249">
        <f t="shared" si="6"/>
        <v>401749261.78333354</v>
      </c>
      <c r="E34" s="271">
        <f>435699717.34+24504318.32+E33</f>
        <v>3022052505.2499995</v>
      </c>
      <c r="F34" s="253">
        <f>F28*7</f>
        <v>3095769833.333333</v>
      </c>
      <c r="G34" s="249">
        <f t="shared" si="7"/>
        <v>-73717328.083333492</v>
      </c>
      <c r="H34" s="255">
        <f t="shared" si="5"/>
        <v>6259932650.4399986</v>
      </c>
      <c r="I34" s="253">
        <f>I28*7</f>
        <v>5915462000</v>
      </c>
      <c r="J34" s="249">
        <f t="shared" si="8"/>
        <v>344470650.43999863</v>
      </c>
      <c r="K34" s="272">
        <f>J34/I40</f>
        <v>3.3968811355168181E-2</v>
      </c>
    </row>
    <row r="35" spans="1:13" ht="15.95" customHeight="1" x14ac:dyDescent="0.2">
      <c r="A35" s="269" t="s">
        <v>14</v>
      </c>
      <c r="B35" s="270">
        <f t="shared" ref="B35" si="9">0+B34</f>
        <v>1959698428.45</v>
      </c>
      <c r="C35" s="253">
        <f>C28*8</f>
        <v>1780513333.3333333</v>
      </c>
      <c r="D35" s="249">
        <f t="shared" si="6"/>
        <v>179185095.11666679</v>
      </c>
      <c r="E35" s="271">
        <f>516717178.64+27857887.03+E34</f>
        <v>3566627570.9199996</v>
      </c>
      <c r="F35" s="253">
        <f>F28*8</f>
        <v>3538022666.6666665</v>
      </c>
      <c r="G35" s="249">
        <f t="shared" si="7"/>
        <v>28604904.253333092</v>
      </c>
      <c r="H35" s="255">
        <f t="shared" si="5"/>
        <v>7001310784.9599991</v>
      </c>
      <c r="I35" s="253">
        <f>I28*8</f>
        <v>6760528000</v>
      </c>
      <c r="J35" s="249">
        <f t="shared" si="8"/>
        <v>240782784.95999908</v>
      </c>
      <c r="K35" s="272">
        <f>J35/I40</f>
        <v>2.3743982221506869E-2</v>
      </c>
    </row>
    <row r="36" spans="1:13" ht="15.95" customHeight="1" x14ac:dyDescent="0.2">
      <c r="A36" s="269" t="s">
        <v>15</v>
      </c>
      <c r="B36" s="270">
        <f>351968612.04+B35</f>
        <v>2311667040.4900002</v>
      </c>
      <c r="C36" s="253">
        <f>C28*9</f>
        <v>2003077500</v>
      </c>
      <c r="D36" s="249">
        <f t="shared" si="6"/>
        <v>308589540.49000025</v>
      </c>
      <c r="E36" s="271">
        <f>301801268.65+E35</f>
        <v>3868428839.5699997</v>
      </c>
      <c r="F36" s="253">
        <f>F28*9</f>
        <v>3980275500</v>
      </c>
      <c r="G36" s="249">
        <f t="shared" si="7"/>
        <v>-111846660.43000031</v>
      </c>
      <c r="H36" s="255">
        <f t="shared" si="5"/>
        <v>7848042345.4899998</v>
      </c>
      <c r="I36" s="253">
        <f>I28*9</f>
        <v>7605594000</v>
      </c>
      <c r="J36" s="249">
        <f t="shared" si="8"/>
        <v>242448345.48999977</v>
      </c>
      <c r="K36" s="272">
        <f>J36/I40</f>
        <v>2.3908225855534732E-2</v>
      </c>
    </row>
    <row r="37" spans="1:13" ht="15.95" customHeight="1" x14ac:dyDescent="0.2">
      <c r="A37" s="269" t="s">
        <v>16</v>
      </c>
      <c r="B37" s="270">
        <f>56319113.11+36042280.78+B36</f>
        <v>2404028434.3800001</v>
      </c>
      <c r="C37" s="253">
        <f>C28*10</f>
        <v>2225641666.6666665</v>
      </c>
      <c r="D37" s="249">
        <f t="shared" si="6"/>
        <v>178386767.71333361</v>
      </c>
      <c r="E37" s="271">
        <f>352874068.51+29654948.44+E36</f>
        <v>4250957856.5199995</v>
      </c>
      <c r="F37" s="253">
        <f>F28*10</f>
        <v>4422528333.333333</v>
      </c>
      <c r="G37" s="249">
        <f>E37-F37</f>
        <v>-171570476.81333351</v>
      </c>
      <c r="H37" s="255">
        <f t="shared" si="5"/>
        <v>8504668119.6899996</v>
      </c>
      <c r="I37" s="253">
        <f>I28*10</f>
        <v>8450660000</v>
      </c>
      <c r="J37" s="249">
        <f t="shared" si="8"/>
        <v>54008119.68999958</v>
      </c>
      <c r="K37" s="272">
        <f>J37/I40</f>
        <v>5.3258285634888852E-3</v>
      </c>
    </row>
    <row r="38" spans="1:13" ht="15.95" customHeight="1" x14ac:dyDescent="0.2">
      <c r="A38" s="269" t="s">
        <v>17</v>
      </c>
      <c r="B38" s="270">
        <f>58576090.59+20781969.62+B37</f>
        <v>2483386494.5900002</v>
      </c>
      <c r="C38" s="253">
        <f>C28*11</f>
        <v>2448205833.333333</v>
      </c>
      <c r="D38" s="249">
        <f t="shared" si="6"/>
        <v>35180661.256667137</v>
      </c>
      <c r="E38" s="271">
        <f>511784286.91+23685599.26+E37</f>
        <v>4786427742.6899996</v>
      </c>
      <c r="F38" s="253">
        <f>F28*11</f>
        <v>4864781166.666666</v>
      </c>
      <c r="G38" s="249">
        <f t="shared" si="7"/>
        <v>-78353423.976666451</v>
      </c>
      <c r="H38" s="255">
        <f t="shared" si="5"/>
        <v>9324526972.5200005</v>
      </c>
      <c r="I38" s="253">
        <f>I28*11</f>
        <v>9295726000</v>
      </c>
      <c r="J38" s="249">
        <f t="shared" si="8"/>
        <v>28800972.520000458</v>
      </c>
      <c r="K38" s="272">
        <f>J38/I40</f>
        <v>2.8401107645241574E-3</v>
      </c>
    </row>
    <row r="39" spans="1:13" ht="15.95" customHeight="1" thickBot="1" x14ac:dyDescent="0.25">
      <c r="A39" s="340" t="s">
        <v>18</v>
      </c>
      <c r="B39" s="270">
        <f>5958902.88+463828302.09+B38</f>
        <v>2953173699.5599999</v>
      </c>
      <c r="C39" s="338">
        <f>C28*12</f>
        <v>2670770000</v>
      </c>
      <c r="D39" s="464">
        <f t="shared" si="6"/>
        <v>282403699.55999994</v>
      </c>
      <c r="E39" s="271">
        <f>477965668.23+52014543.69+E38</f>
        <v>5316407954.6099997</v>
      </c>
      <c r="F39" s="338">
        <f>F28*12</f>
        <v>5307034000</v>
      </c>
      <c r="G39" s="411">
        <f t="shared" si="7"/>
        <v>9373954.6099996567</v>
      </c>
      <c r="H39" s="275">
        <f t="shared" si="5"/>
        <v>10576396041.130001</v>
      </c>
      <c r="I39" s="338">
        <f>I28*12</f>
        <v>10140792000</v>
      </c>
      <c r="J39" s="411">
        <f t="shared" si="8"/>
        <v>435604041.13000107</v>
      </c>
      <c r="K39" s="466">
        <f>J39/I40</f>
        <v>4.2955623301414829E-2</v>
      </c>
    </row>
    <row r="40" spans="1:13" ht="15.95" customHeight="1" thickBot="1" x14ac:dyDescent="0.25">
      <c r="A40" s="257" t="s">
        <v>19</v>
      </c>
      <c r="B40" s="345">
        <f>B39</f>
        <v>2953173699.5599999</v>
      </c>
      <c r="C40" s="258">
        <f>2320770000+350000000</f>
        <v>2670770000</v>
      </c>
      <c r="D40" s="278"/>
      <c r="E40" s="345">
        <f>E39</f>
        <v>5316407954.6099997</v>
      </c>
      <c r="F40" s="258">
        <f>5607034000-300000000</f>
        <v>5307034000</v>
      </c>
      <c r="G40" s="278"/>
      <c r="H40" s="351">
        <f t="shared" si="5"/>
        <v>10576396041.130001</v>
      </c>
      <c r="I40" s="279">
        <f>C20+F20+I20+L20+C40+F40</f>
        <v>10140792000</v>
      </c>
      <c r="J40" s="280"/>
      <c r="K40" s="350"/>
    </row>
    <row r="41" spans="1:13" x14ac:dyDescent="0.2">
      <c r="A41" s="659" t="s">
        <v>183</v>
      </c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42:M42"/>
    <mergeCell ref="E26:E27"/>
    <mergeCell ref="F26:F27"/>
    <mergeCell ref="G26:G27"/>
    <mergeCell ref="H26:H27"/>
    <mergeCell ref="I26:I27"/>
    <mergeCell ref="J26:J2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20BBE-E7BF-4287-AD3C-E3EC6778A5A5}">
  <sheetPr>
    <tabColor theme="5" tint="-0.499984740745262"/>
  </sheetPr>
  <dimension ref="A1:S76"/>
  <sheetViews>
    <sheetView showGridLines="0" view="pageBreakPreview" zoomScale="160" zoomScaleNormal="160" zoomScaleSheetLayoutView="160" workbookViewId="0">
      <selection sqref="A1:O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6" width="9.140625" style="1"/>
    <col min="17" max="17" width="13.140625" style="1" customWidth="1"/>
    <col min="18" max="19" width="9.140625" style="1"/>
    <col min="20" max="20" width="3.7109375" style="1" customWidth="1"/>
    <col min="21" max="16384" width="9.140625" style="1"/>
  </cols>
  <sheetData>
    <row r="1" spans="1:19" ht="28.5" x14ac:dyDescent="0.45">
      <c r="A1" s="656" t="s">
        <v>177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451"/>
      <c r="Q1" s="451"/>
      <c r="R1" s="452"/>
      <c r="S1" s="452"/>
    </row>
    <row r="2" spans="1:19" ht="20.25" x14ac:dyDescent="0.3">
      <c r="A2" s="587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37" spans="1:19" x14ac:dyDescent="0.2">
      <c r="I37" s="471" t="s">
        <v>35</v>
      </c>
    </row>
    <row r="38" spans="1:19" ht="28.5" x14ac:dyDescent="0.45">
      <c r="A38" s="656" t="s">
        <v>182</v>
      </c>
      <c r="B38" s="592"/>
      <c r="C38" s="592"/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452"/>
      <c r="Q38" s="452"/>
      <c r="R38" s="452"/>
      <c r="S38" s="452"/>
    </row>
    <row r="39" spans="1:19" ht="20.25" x14ac:dyDescent="0.3">
      <c r="A39" s="587"/>
      <c r="B39" s="592"/>
      <c r="C39" s="592"/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/>
      <c r="Q39"/>
      <c r="R39"/>
      <c r="S39"/>
    </row>
    <row r="40" spans="1:19" ht="12.75" customHeight="1" x14ac:dyDescent="0.2"/>
    <row r="61" spans="11:19" x14ac:dyDescent="0.2">
      <c r="K61" s="632"/>
      <c r="L61" s="633"/>
      <c r="M61" s="633"/>
      <c r="N61" s="633"/>
      <c r="O61" s="633"/>
      <c r="P61" s="633"/>
      <c r="Q61" s="633"/>
      <c r="R61" s="633"/>
      <c r="S61" s="633"/>
    </row>
    <row r="76" spans="1:11" x14ac:dyDescent="0.2">
      <c r="A76" s="684" t="s">
        <v>183</v>
      </c>
      <c r="B76" s="684"/>
      <c r="C76" s="684"/>
      <c r="D76" s="684"/>
      <c r="E76" s="684"/>
      <c r="F76" s="684"/>
      <c r="G76" s="684"/>
      <c r="H76" s="684"/>
      <c r="I76" s="684"/>
      <c r="J76" s="684"/>
      <c r="K76" s="684"/>
    </row>
  </sheetData>
  <mergeCells count="6">
    <mergeCell ref="A76:K76"/>
    <mergeCell ref="A1:O1"/>
    <mergeCell ref="A2:O2"/>
    <mergeCell ref="A38:O38"/>
    <mergeCell ref="A39:O39"/>
    <mergeCell ref="K61:S61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3603E-0C9E-478C-805A-35B00BA1099D}">
  <sheetPr>
    <tabColor theme="5" tint="-0.499984740745262"/>
    <pageSetUpPr fitToPage="1"/>
  </sheetPr>
  <dimension ref="A1:S42"/>
  <sheetViews>
    <sheetView showGridLines="0" zoomScale="130" zoomScaleNormal="130" zoomScaleSheetLayoutView="130" workbookViewId="0">
      <pane xSplit="1" topLeftCell="B1" activePane="topRight" state="frozen"/>
      <selection activeCell="A2" sqref="A2:M2"/>
      <selection pane="topRight" activeCell="A2" sqref="A2:Q2"/>
    </sheetView>
  </sheetViews>
  <sheetFormatPr defaultColWidth="9.140625" defaultRowHeight="12.75" x14ac:dyDescent="0.2"/>
  <cols>
    <col min="1" max="1" width="7.7109375" style="66" customWidth="1"/>
    <col min="2" max="4" width="11.140625" style="66" customWidth="1"/>
    <col min="5" max="5" width="13.85546875" style="212" customWidth="1"/>
    <col min="6" max="8" width="11.140625" style="66" customWidth="1"/>
    <col min="9" max="9" width="13.85546875" style="212" customWidth="1"/>
    <col min="10" max="12" width="11.140625" style="66" customWidth="1"/>
    <col min="13" max="13" width="13.85546875" style="212" bestFit="1" customWidth="1"/>
    <col min="14" max="16" width="11.140625" style="66" customWidth="1"/>
    <col min="17" max="17" width="13.85546875" style="212" customWidth="1"/>
    <col min="18" max="18" width="9.7109375" style="66" customWidth="1"/>
    <col min="19" max="19" width="12.42578125" style="66" customWidth="1"/>
    <col min="20" max="21" width="9.7109375" style="66" customWidth="1"/>
    <col min="22" max="22" width="11" style="66" customWidth="1"/>
    <col min="23" max="16384" width="9.140625" style="66"/>
  </cols>
  <sheetData>
    <row r="1" spans="1:19" ht="20.25" x14ac:dyDescent="0.3">
      <c r="A1" s="585" t="s">
        <v>178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</row>
    <row r="2" spans="1:19" ht="20.25" x14ac:dyDescent="0.3">
      <c r="A2" s="587" t="s">
        <v>65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</row>
    <row r="3" spans="1:19" ht="15.95" customHeight="1" x14ac:dyDescent="0.3">
      <c r="A3" s="462"/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</row>
    <row r="4" spans="1:19" ht="13.5" customHeight="1" thickBot="1" x14ac:dyDescent="0.25">
      <c r="B4" s="67"/>
      <c r="C4" s="68"/>
      <c r="D4" s="68"/>
      <c r="E4" s="203"/>
      <c r="F4" s="69"/>
      <c r="G4" s="69"/>
      <c r="H4" s="71"/>
      <c r="I4" s="204"/>
      <c r="J4" s="70"/>
      <c r="K4" s="70"/>
      <c r="L4" s="71"/>
      <c r="M4" s="204"/>
      <c r="N4" s="71"/>
      <c r="O4" s="71"/>
      <c r="P4" s="72"/>
      <c r="Q4" s="381" t="s">
        <v>26</v>
      </c>
    </row>
    <row r="5" spans="1:19" ht="14.45" customHeight="1" x14ac:dyDescent="0.2">
      <c r="A5" s="660" t="s">
        <v>2</v>
      </c>
      <c r="B5" s="712" t="s">
        <v>166</v>
      </c>
      <c r="C5" s="713"/>
      <c r="D5" s="713"/>
      <c r="E5" s="714"/>
      <c r="F5" s="715" t="s">
        <v>167</v>
      </c>
      <c r="G5" s="716"/>
      <c r="H5" s="716"/>
      <c r="I5" s="717"/>
      <c r="J5" s="703" t="s">
        <v>168</v>
      </c>
      <c r="K5" s="696"/>
      <c r="L5" s="696"/>
      <c r="M5" s="697"/>
      <c r="N5" s="718" t="s">
        <v>169</v>
      </c>
      <c r="O5" s="696"/>
      <c r="P5" s="696"/>
      <c r="Q5" s="697"/>
    </row>
    <row r="6" spans="1:19" ht="14.45" customHeight="1" thickBot="1" x14ac:dyDescent="0.25">
      <c r="A6" s="661"/>
      <c r="B6" s="699"/>
      <c r="C6" s="699"/>
      <c r="D6" s="699"/>
      <c r="E6" s="700"/>
      <c r="F6" s="698"/>
      <c r="G6" s="699"/>
      <c r="H6" s="699"/>
      <c r="I6" s="700"/>
      <c r="J6" s="698"/>
      <c r="K6" s="699"/>
      <c r="L6" s="699"/>
      <c r="M6" s="700"/>
      <c r="N6" s="698"/>
      <c r="O6" s="699"/>
      <c r="P6" s="699"/>
      <c r="Q6" s="700"/>
    </row>
    <row r="7" spans="1:19" ht="13.5" customHeight="1" x14ac:dyDescent="0.2">
      <c r="A7" s="661"/>
      <c r="B7" s="206"/>
      <c r="C7" s="206"/>
      <c r="D7" s="207"/>
      <c r="E7" s="710" t="s">
        <v>179</v>
      </c>
      <c r="F7" s="206"/>
      <c r="G7" s="206"/>
      <c r="H7" s="207"/>
      <c r="I7" s="710" t="s">
        <v>179</v>
      </c>
      <c r="J7" s="206"/>
      <c r="K7" s="206"/>
      <c r="L7" s="207"/>
      <c r="M7" s="710" t="s">
        <v>179</v>
      </c>
      <c r="N7" s="206"/>
      <c r="O7" s="206"/>
      <c r="P7" s="207"/>
      <c r="Q7" s="710" t="s">
        <v>179</v>
      </c>
    </row>
    <row r="8" spans="1:19" ht="13.5" customHeight="1" thickBot="1" x14ac:dyDescent="0.25">
      <c r="A8" s="662"/>
      <c r="B8" s="210" t="s">
        <v>129</v>
      </c>
      <c r="C8" s="210" t="s">
        <v>142</v>
      </c>
      <c r="D8" s="211" t="s">
        <v>152</v>
      </c>
      <c r="E8" s="711"/>
      <c r="F8" s="210" t="s">
        <v>129</v>
      </c>
      <c r="G8" s="210" t="s">
        <v>142</v>
      </c>
      <c r="H8" s="211" t="s">
        <v>152</v>
      </c>
      <c r="I8" s="711"/>
      <c r="J8" s="210" t="s">
        <v>129</v>
      </c>
      <c r="K8" s="210" t="s">
        <v>142</v>
      </c>
      <c r="L8" s="211" t="s">
        <v>152</v>
      </c>
      <c r="M8" s="711"/>
      <c r="N8" s="210" t="s">
        <v>129</v>
      </c>
      <c r="O8" s="210" t="s">
        <v>142</v>
      </c>
      <c r="P8" s="211" t="s">
        <v>152</v>
      </c>
      <c r="Q8" s="711"/>
    </row>
    <row r="9" spans="1:19" ht="17.100000000000001" customHeight="1" x14ac:dyDescent="0.2">
      <c r="A9" s="386" t="s">
        <v>7</v>
      </c>
      <c r="B9" s="387">
        <v>183037499.32999998</v>
      </c>
      <c r="C9" s="387">
        <v>199772286.56</v>
      </c>
      <c r="D9" s="387">
        <v>140979932.11000001</v>
      </c>
      <c r="E9" s="388">
        <f>58961356.65+90045465.75</f>
        <v>149006822.40000001</v>
      </c>
      <c r="F9" s="389">
        <v>12493363.52</v>
      </c>
      <c r="G9" s="389">
        <v>12899930.41</v>
      </c>
      <c r="H9" s="387">
        <v>8746900.7100000009</v>
      </c>
      <c r="I9" s="388">
        <f>3631627.12+5546201.45</f>
        <v>9177828.5700000003</v>
      </c>
      <c r="J9" s="387">
        <v>3520356.96</v>
      </c>
      <c r="K9" s="387">
        <v>4166693.01</v>
      </c>
      <c r="L9" s="387">
        <v>7376859.04</v>
      </c>
      <c r="M9" s="388">
        <f>6395147.52+1704807.13</f>
        <v>8099954.6499999994</v>
      </c>
      <c r="N9" s="387">
        <v>14595793.41</v>
      </c>
      <c r="O9" s="387">
        <v>17357372.329999998</v>
      </c>
      <c r="P9" s="387">
        <v>20064782.27</v>
      </c>
      <c r="Q9" s="388">
        <f>23894012.94+7812613.06</f>
        <v>31706626</v>
      </c>
      <c r="S9" s="212"/>
    </row>
    <row r="10" spans="1:19" ht="17.100000000000001" customHeight="1" x14ac:dyDescent="0.2">
      <c r="A10" s="390" t="s">
        <v>8</v>
      </c>
      <c r="B10" s="391">
        <v>169215452.51999998</v>
      </c>
      <c r="C10" s="391">
        <v>120056607.46000001</v>
      </c>
      <c r="D10" s="391">
        <v>105073495.16</v>
      </c>
      <c r="E10" s="392">
        <f>63683503.09+78985272.78</f>
        <v>142668775.87</v>
      </c>
      <c r="F10" s="391">
        <v>11549929.32</v>
      </c>
      <c r="G10" s="391">
        <v>7505830.4900000002</v>
      </c>
      <c r="H10" s="391">
        <v>6519136.5500000007</v>
      </c>
      <c r="I10" s="392">
        <f>3922479.91+4864967.13</f>
        <v>8787447.0399999991</v>
      </c>
      <c r="J10" s="391">
        <v>2430649.3200000003</v>
      </c>
      <c r="K10" s="391">
        <v>4109856.08</v>
      </c>
      <c r="L10" s="391">
        <v>3585999.83</v>
      </c>
      <c r="M10" s="392">
        <f>2429932.69+2835785.51</f>
        <v>5265718.1999999993</v>
      </c>
      <c r="N10" s="391">
        <v>17133882.859999999</v>
      </c>
      <c r="O10" s="391">
        <v>18777302.259999998</v>
      </c>
      <c r="P10" s="391">
        <v>23639919.380000003</v>
      </c>
      <c r="Q10" s="392">
        <f>25410927.54+7301146.81</f>
        <v>32712074.349999998</v>
      </c>
    </row>
    <row r="11" spans="1:19" ht="17.100000000000001" customHeight="1" x14ac:dyDescent="0.2">
      <c r="A11" s="390" t="s">
        <v>9</v>
      </c>
      <c r="B11" s="391">
        <v>155784483.44</v>
      </c>
      <c r="C11" s="391">
        <v>81467731.420000002</v>
      </c>
      <c r="D11" s="391">
        <v>78246838.700000003</v>
      </c>
      <c r="E11" s="392">
        <f>48921430.98+65505585.08</f>
        <v>114427016.06</v>
      </c>
      <c r="F11" s="391">
        <v>10633188.300000001</v>
      </c>
      <c r="G11" s="391">
        <v>5093288.88</v>
      </c>
      <c r="H11" s="391">
        <v>4854714.54</v>
      </c>
      <c r="I11" s="392">
        <f>3013234.52+4034708.05</f>
        <v>7047942.5700000003</v>
      </c>
      <c r="J11" s="391">
        <v>7287228.959999999</v>
      </c>
      <c r="K11" s="391">
        <v>13080477.879999999</v>
      </c>
      <c r="L11" s="391">
        <v>13902009.93</v>
      </c>
      <c r="M11" s="392">
        <f>4758569.85+7843964.22</f>
        <v>12602534.07</v>
      </c>
      <c r="N11" s="391">
        <v>11805854.23</v>
      </c>
      <c r="O11" s="391">
        <v>13058543.49</v>
      </c>
      <c r="P11" s="391">
        <v>16175021.950000001</v>
      </c>
      <c r="Q11" s="392">
        <f>16950123.36+8685202.49</f>
        <v>25635325.850000001</v>
      </c>
    </row>
    <row r="12" spans="1:19" ht="17.100000000000001" customHeight="1" x14ac:dyDescent="0.2">
      <c r="A12" s="390" t="s">
        <v>10</v>
      </c>
      <c r="B12" s="391">
        <v>129099977.53</v>
      </c>
      <c r="C12" s="391">
        <v>24764866.880000003</v>
      </c>
      <c r="D12" s="391">
        <v>81268931.090000004</v>
      </c>
      <c r="E12" s="392">
        <f>38459190.63+60811499.95</f>
        <v>99270690.580000013</v>
      </c>
      <c r="F12" s="391">
        <v>8811817.0600000005</v>
      </c>
      <c r="G12" s="391">
        <v>1548277.08</v>
      </c>
      <c r="H12" s="391">
        <v>5042215.99</v>
      </c>
      <c r="I12" s="392">
        <f>2368830.2+3745583.66</f>
        <v>6114413.8600000003</v>
      </c>
      <c r="J12" s="391">
        <v>0</v>
      </c>
      <c r="K12" s="391">
        <v>0</v>
      </c>
      <c r="L12" s="391">
        <v>0</v>
      </c>
      <c r="M12" s="392">
        <v>0</v>
      </c>
      <c r="N12" s="391">
        <v>11355332.850000001</v>
      </c>
      <c r="O12" s="391">
        <v>15549369.440000001</v>
      </c>
      <c r="P12" s="391">
        <v>18910669.41</v>
      </c>
      <c r="Q12" s="392">
        <f>19446183.28+7731801</f>
        <v>27177984.280000001</v>
      </c>
    </row>
    <row r="13" spans="1:19" ht="17.100000000000001" customHeight="1" x14ac:dyDescent="0.2">
      <c r="A13" s="390" t="s">
        <v>11</v>
      </c>
      <c r="B13" s="391">
        <v>32351760.940000001</v>
      </c>
      <c r="C13" s="391">
        <v>58778892.370000005</v>
      </c>
      <c r="D13" s="391">
        <v>95091689.019999996</v>
      </c>
      <c r="E13" s="392">
        <f>40377085.89+84967771.26</f>
        <v>125344857.15000001</v>
      </c>
      <c r="F13" s="391">
        <v>2208194.0299999998</v>
      </c>
      <c r="G13" s="391">
        <v>3674803.15</v>
      </c>
      <c r="H13" s="391">
        <v>5899829.4499999993</v>
      </c>
      <c r="I13" s="392">
        <f>2486959.76+5233449.16</f>
        <v>7720408.9199999999</v>
      </c>
      <c r="J13" s="391">
        <v>0</v>
      </c>
      <c r="K13" s="391">
        <v>0</v>
      </c>
      <c r="L13" s="391">
        <v>0</v>
      </c>
      <c r="M13" s="392">
        <v>0</v>
      </c>
      <c r="N13" s="391">
        <v>12679765.41</v>
      </c>
      <c r="O13" s="391">
        <v>15704892.880000001</v>
      </c>
      <c r="P13" s="391">
        <v>21410489.079999998</v>
      </c>
      <c r="Q13" s="392">
        <f>19358353.13+10036094.35</f>
        <v>29394447.479999997</v>
      </c>
    </row>
    <row r="14" spans="1:19" ht="17.100000000000001" customHeight="1" x14ac:dyDescent="0.2">
      <c r="A14" s="390" t="s">
        <v>12</v>
      </c>
      <c r="B14" s="391">
        <v>111308479.09999999</v>
      </c>
      <c r="C14" s="391">
        <v>104183829.91999999</v>
      </c>
      <c r="D14" s="391">
        <v>128112946.40000001</v>
      </c>
      <c r="E14" s="392">
        <f>56846438.3+92996412.69</f>
        <v>149842850.99000001</v>
      </c>
      <c r="F14" s="391">
        <v>7597444.8200000003</v>
      </c>
      <c r="G14" s="391">
        <v>6513478.8100000005</v>
      </c>
      <c r="H14" s="391">
        <v>7948586.75</v>
      </c>
      <c r="I14" s="392">
        <f>3501362.27+5727960.06</f>
        <v>9229322.3300000001</v>
      </c>
      <c r="J14" s="391">
        <v>0</v>
      </c>
      <c r="K14" s="391">
        <v>0</v>
      </c>
      <c r="L14" s="391">
        <v>0</v>
      </c>
      <c r="M14" s="392">
        <v>0</v>
      </c>
      <c r="N14" s="391">
        <v>14568580.41</v>
      </c>
      <c r="O14" s="391">
        <v>21698908.879999999</v>
      </c>
      <c r="P14" s="391">
        <v>23438643.289999999</v>
      </c>
      <c r="Q14" s="392">
        <f>21983433.13+11856190.9</f>
        <v>33839624.030000001</v>
      </c>
    </row>
    <row r="15" spans="1:19" ht="17.100000000000001" customHeight="1" x14ac:dyDescent="0.2">
      <c r="A15" s="378" t="s">
        <v>13</v>
      </c>
      <c r="B15" s="391">
        <v>163054146.72</v>
      </c>
      <c r="C15" s="391">
        <v>123514873.94</v>
      </c>
      <c r="D15" s="391">
        <v>133769365.87</v>
      </c>
      <c r="E15" s="392">
        <f>56770809.51+92944813.32</f>
        <v>149715622.82999998</v>
      </c>
      <c r="F15" s="391">
        <v>11129384.689999999</v>
      </c>
      <c r="G15" s="391">
        <v>7722038.1699999999</v>
      </c>
      <c r="H15" s="391">
        <v>8299531.2599999998</v>
      </c>
      <c r="I15" s="392">
        <f>3496704.04+5724781.89</f>
        <v>9221485.9299999997</v>
      </c>
      <c r="J15" s="391">
        <v>0</v>
      </c>
      <c r="K15" s="391">
        <v>11743751.530000001</v>
      </c>
      <c r="L15" s="391">
        <v>44271148.890000001</v>
      </c>
      <c r="M15" s="392">
        <f>14714947.53+28120959.46</f>
        <v>42835906.990000002</v>
      </c>
      <c r="N15" s="391">
        <v>17117856</v>
      </c>
      <c r="O15" s="391">
        <v>23528111.800000001</v>
      </c>
      <c r="P15" s="391">
        <v>30180584.66</v>
      </c>
      <c r="Q15" s="392">
        <f>30853468.41+10482567.33</f>
        <v>41336035.740000002</v>
      </c>
    </row>
    <row r="16" spans="1:19" ht="17.100000000000001" customHeight="1" x14ac:dyDescent="0.2">
      <c r="A16" s="378" t="s">
        <v>14</v>
      </c>
      <c r="B16" s="391">
        <v>169050264.44999999</v>
      </c>
      <c r="C16" s="391">
        <v>117374735.00999999</v>
      </c>
      <c r="D16" s="391">
        <v>121579045.33</v>
      </c>
      <c r="E16" s="392">
        <f>58224740.96+89529900.81</f>
        <v>147754641.77000001</v>
      </c>
      <c r="F16" s="391">
        <v>11538654.280000001</v>
      </c>
      <c r="G16" s="391">
        <v>7338162.2599999998</v>
      </c>
      <c r="H16" s="391">
        <v>7543200.0700000003</v>
      </c>
      <c r="I16" s="392">
        <f>3586256.5+5514446.03</f>
        <v>9100702.5300000012</v>
      </c>
      <c r="J16" s="391">
        <v>0</v>
      </c>
      <c r="K16" s="391">
        <v>0</v>
      </c>
      <c r="L16" s="391">
        <v>0</v>
      </c>
      <c r="M16" s="392">
        <v>0</v>
      </c>
      <c r="N16" s="391">
        <v>17133098.050000001</v>
      </c>
      <c r="O16" s="391">
        <v>20084625.649999999</v>
      </c>
      <c r="P16" s="391">
        <v>32148139.740000002</v>
      </c>
      <c r="Q16" s="392">
        <f>27988446.15+11959278.4</f>
        <v>39947724.549999997</v>
      </c>
    </row>
    <row r="17" spans="1:17" ht="17.100000000000001" customHeight="1" x14ac:dyDescent="0.2">
      <c r="A17" s="390" t="s">
        <v>15</v>
      </c>
      <c r="B17" s="391">
        <v>161231565.73000002</v>
      </c>
      <c r="C17" s="391">
        <v>115941248.59</v>
      </c>
      <c r="D17" s="391">
        <v>130533304.34</v>
      </c>
      <c r="E17" s="392">
        <f>55320957.11+62515585.08</f>
        <v>117836542.19</v>
      </c>
      <c r="F17" s="391">
        <v>11312600.539999999</v>
      </c>
      <c r="G17" s="391">
        <v>6831343.5500000007</v>
      </c>
      <c r="H17" s="391">
        <v>7666189.6500000004</v>
      </c>
      <c r="I17" s="392">
        <f>3407402.74+6171142.77</f>
        <v>9578545.5099999998</v>
      </c>
      <c r="J17" s="391">
        <v>0</v>
      </c>
      <c r="K17" s="391">
        <v>15352783.66</v>
      </c>
      <c r="L17" s="391">
        <v>20787627.73</v>
      </c>
      <c r="M17" s="392">
        <f>20174749.62</f>
        <v>20174749.620000001</v>
      </c>
      <c r="N17" s="391">
        <v>19373537.73</v>
      </c>
      <c r="O17" s="391">
        <v>26823685.18</v>
      </c>
      <c r="P17" s="391">
        <v>30509777.780000001</v>
      </c>
      <c r="Q17" s="392">
        <f>41131559.91+4240282.61</f>
        <v>45371842.519999996</v>
      </c>
    </row>
    <row r="18" spans="1:17" ht="17.100000000000001" customHeight="1" x14ac:dyDescent="0.2">
      <c r="A18" s="378" t="s">
        <v>16</v>
      </c>
      <c r="B18" s="391">
        <v>171642001.13999999</v>
      </c>
      <c r="C18" s="391">
        <v>123191068.21000001</v>
      </c>
      <c r="D18" s="391">
        <v>123271180.73</v>
      </c>
      <c r="E18" s="392">
        <f>50660014.32+80977778.12</f>
        <v>131637792.44</v>
      </c>
      <c r="F18" s="391">
        <v>11759394.560000001</v>
      </c>
      <c r="G18" s="391">
        <v>7643215.7199999997</v>
      </c>
      <c r="H18" s="391">
        <v>7592684.2700000005</v>
      </c>
      <c r="I18" s="392">
        <f>3223724.47+5152980.13</f>
        <v>8376704.5999999996</v>
      </c>
      <c r="J18" s="391">
        <v>1426552.5499999998</v>
      </c>
      <c r="K18" s="391">
        <v>7086933.3799999999</v>
      </c>
      <c r="L18" s="391">
        <v>7495973.3799999999</v>
      </c>
      <c r="M18" s="392">
        <f>5169922.77+4403283.66</f>
        <v>9573206.4299999997</v>
      </c>
      <c r="N18" s="391">
        <v>16838983.699999999</v>
      </c>
      <c r="O18" s="391">
        <v>21147482.490000002</v>
      </c>
      <c r="P18" s="391">
        <v>23780770.009999998</v>
      </c>
      <c r="Q18" s="392">
        <f>22959634.49+9188025.4</f>
        <v>32147659.890000001</v>
      </c>
    </row>
    <row r="19" spans="1:17" ht="17.100000000000001" customHeight="1" x14ac:dyDescent="0.2">
      <c r="A19" s="378" t="s">
        <v>17</v>
      </c>
      <c r="B19" s="391">
        <v>169532040.53</v>
      </c>
      <c r="C19" s="391">
        <v>119585440.28999999</v>
      </c>
      <c r="D19" s="391">
        <v>132959688.38</v>
      </c>
      <c r="E19" s="392">
        <f>57687498.52+94693262.96</f>
        <v>152380761.47999999</v>
      </c>
      <c r="F19" s="391">
        <v>11614838.719999999</v>
      </c>
      <c r="G19" s="391">
        <v>7419509.6799999997</v>
      </c>
      <c r="H19" s="391">
        <v>8189431.8499999996</v>
      </c>
      <c r="I19" s="392">
        <f>3670914.93+6025758.08</f>
        <v>9696673.0099999998</v>
      </c>
      <c r="J19" s="391">
        <v>1455413.3199999998</v>
      </c>
      <c r="K19" s="391">
        <v>5747141.8700000001</v>
      </c>
      <c r="L19" s="391">
        <v>5549521.3399999999</v>
      </c>
      <c r="M19" s="392">
        <f>4333721.88+3928949.82</f>
        <v>8262671.6999999993</v>
      </c>
      <c r="N19" s="391">
        <v>15844088.949999999</v>
      </c>
      <c r="O19" s="391">
        <v>18179981.629999999</v>
      </c>
      <c r="P19" s="391">
        <v>26170461.479999997</v>
      </c>
      <c r="Q19" s="392">
        <f>24706917.16+9983883.1</f>
        <v>34690800.259999998</v>
      </c>
    </row>
    <row r="20" spans="1:17" ht="17.100000000000001" customHeight="1" thickBot="1" x14ac:dyDescent="0.25">
      <c r="A20" s="393" t="s">
        <v>18</v>
      </c>
      <c r="B20" s="394">
        <v>197886372.27000001</v>
      </c>
      <c r="C20" s="394">
        <v>150284193.12</v>
      </c>
      <c r="D20" s="394">
        <v>161219302.20999998</v>
      </c>
      <c r="E20" s="395">
        <f>49746731.58+123616716.3</f>
        <v>173363447.88</v>
      </c>
      <c r="F20" s="396">
        <v>13557427.190000001</v>
      </c>
      <c r="G20" s="394">
        <v>9324170.3999999985</v>
      </c>
      <c r="H20" s="394">
        <v>9930036.0199999996</v>
      </c>
      <c r="I20" s="395">
        <f>3165608.18+7866287.48</f>
        <v>11031895.66</v>
      </c>
      <c r="J20" s="394">
        <v>13984254.18</v>
      </c>
      <c r="K20" s="394">
        <v>28058764.800000001</v>
      </c>
      <c r="L20" s="394">
        <v>30547210.600000001</v>
      </c>
      <c r="M20" s="395">
        <f>2351684.61+31978757.17</f>
        <v>34330441.780000001</v>
      </c>
      <c r="N20" s="394">
        <v>15190228.58</v>
      </c>
      <c r="O20" s="394">
        <v>19816724.700000003</v>
      </c>
      <c r="P20" s="394">
        <v>30371676.059999999</v>
      </c>
      <c r="Q20" s="395">
        <f>21164225.14+12211641.26</f>
        <v>33375866.399999999</v>
      </c>
    </row>
    <row r="21" spans="1:17" ht="21" customHeight="1" thickBot="1" x14ac:dyDescent="0.25">
      <c r="A21" s="397" t="s">
        <v>19</v>
      </c>
      <c r="B21" s="398">
        <f t="shared" ref="B21" si="0">SUM(B9:B20)</f>
        <v>1813194043.7</v>
      </c>
      <c r="C21" s="399">
        <f>SUM(C9:C20)</f>
        <v>1338915773.77</v>
      </c>
      <c r="D21" s="400">
        <f>SUM(D9:D20)</f>
        <v>1432105719.3400002</v>
      </c>
      <c r="E21" s="401">
        <f>SUM(E9:E20)</f>
        <v>1653249821.6399999</v>
      </c>
      <c r="F21" s="399">
        <f t="shared" ref="F21" si="1">SUM(F9:F20)</f>
        <v>124206237.03</v>
      </c>
      <c r="G21" s="399">
        <f>SUM(G9:G20)</f>
        <v>83514048.599999994</v>
      </c>
      <c r="H21" s="400">
        <f t="shared" ref="H21:Q21" si="2">SUM(H9:H20)</f>
        <v>88232457.109999985</v>
      </c>
      <c r="I21" s="401">
        <f t="shared" si="2"/>
        <v>105083370.53</v>
      </c>
      <c r="J21" s="402">
        <f t="shared" si="2"/>
        <v>30104455.289999999</v>
      </c>
      <c r="K21" s="399">
        <f t="shared" si="2"/>
        <v>89346402.209999993</v>
      </c>
      <c r="L21" s="400">
        <f t="shared" si="2"/>
        <v>133516350.74000001</v>
      </c>
      <c r="M21" s="401">
        <f t="shared" si="2"/>
        <v>141145183.44</v>
      </c>
      <c r="N21" s="399">
        <f t="shared" si="2"/>
        <v>183637002.17999998</v>
      </c>
      <c r="O21" s="399">
        <f t="shared" si="2"/>
        <v>231727000.73000002</v>
      </c>
      <c r="P21" s="400">
        <f t="shared" si="2"/>
        <v>296800935.10999995</v>
      </c>
      <c r="Q21" s="401">
        <f t="shared" si="2"/>
        <v>407336011.3499999</v>
      </c>
    </row>
    <row r="22" spans="1:17" ht="15.95" customHeight="1" x14ac:dyDescent="0.2">
      <c r="A22" s="71"/>
      <c r="B22" s="73"/>
      <c r="C22" s="73"/>
      <c r="D22" s="213"/>
      <c r="E22" s="91"/>
      <c r="F22" s="73"/>
      <c r="G22" s="73"/>
      <c r="H22" s="73"/>
      <c r="I22" s="213"/>
      <c r="J22" s="71"/>
      <c r="K22" s="73"/>
      <c r="L22" s="71"/>
      <c r="M22" s="91"/>
      <c r="N22" s="71"/>
      <c r="O22" s="73"/>
      <c r="P22" s="213"/>
    </row>
    <row r="23" spans="1:17" ht="15.95" customHeight="1" x14ac:dyDescent="0.2">
      <c r="A23" s="71"/>
      <c r="B23" s="73"/>
      <c r="C23" s="73"/>
      <c r="D23" s="213"/>
      <c r="E23" s="91"/>
      <c r="F23" s="73"/>
      <c r="G23" s="73"/>
      <c r="H23" s="73"/>
      <c r="I23" s="213"/>
      <c r="J23" s="71"/>
      <c r="K23" s="73"/>
      <c r="L23" s="71"/>
      <c r="M23" s="91"/>
      <c r="N23" s="71"/>
      <c r="O23" s="73"/>
      <c r="P23" s="213"/>
    </row>
    <row r="24" spans="1:17" ht="15.95" customHeight="1" thickBot="1" x14ac:dyDescent="0.25">
      <c r="A24" s="92"/>
      <c r="B24" s="73"/>
      <c r="C24" s="93"/>
      <c r="D24" s="213"/>
      <c r="E24" s="213"/>
      <c r="F24" s="73"/>
      <c r="G24" s="73"/>
      <c r="H24" s="73"/>
      <c r="I24" s="213"/>
      <c r="M24" s="381" t="s">
        <v>26</v>
      </c>
      <c r="P24" s="205"/>
    </row>
    <row r="25" spans="1:17" ht="14.45" customHeight="1" x14ac:dyDescent="0.2">
      <c r="A25" s="660" t="s">
        <v>2</v>
      </c>
      <c r="B25" s="702" t="s">
        <v>170</v>
      </c>
      <c r="C25" s="696"/>
      <c r="D25" s="696"/>
      <c r="E25" s="697"/>
      <c r="F25" s="703" t="s">
        <v>171</v>
      </c>
      <c r="G25" s="696"/>
      <c r="H25" s="696"/>
      <c r="I25" s="697"/>
      <c r="J25" s="704" t="s">
        <v>68</v>
      </c>
      <c r="K25" s="705"/>
      <c r="L25" s="705"/>
      <c r="M25" s="706"/>
      <c r="Q25" s="66"/>
    </row>
    <row r="26" spans="1:17" ht="14.45" customHeight="1" thickBot="1" x14ac:dyDescent="0.25">
      <c r="A26" s="661"/>
      <c r="B26" s="699"/>
      <c r="C26" s="699"/>
      <c r="D26" s="699"/>
      <c r="E26" s="700"/>
      <c r="F26" s="698"/>
      <c r="G26" s="699"/>
      <c r="H26" s="699"/>
      <c r="I26" s="700"/>
      <c r="J26" s="707"/>
      <c r="K26" s="708"/>
      <c r="L26" s="708"/>
      <c r="M26" s="709"/>
      <c r="Q26" s="66"/>
    </row>
    <row r="27" spans="1:17" ht="13.5" customHeight="1" x14ac:dyDescent="0.2">
      <c r="A27" s="661"/>
      <c r="B27" s="206"/>
      <c r="C27" s="206"/>
      <c r="D27" s="207"/>
      <c r="E27" s="710" t="s">
        <v>179</v>
      </c>
      <c r="F27" s="206"/>
      <c r="G27" s="206"/>
      <c r="H27" s="207"/>
      <c r="I27" s="710" t="s">
        <v>179</v>
      </c>
      <c r="J27" s="214"/>
      <c r="K27" s="404"/>
      <c r="L27" s="404"/>
      <c r="M27" s="710" t="s">
        <v>179</v>
      </c>
      <c r="Q27" s="66"/>
    </row>
    <row r="28" spans="1:17" ht="13.5" customHeight="1" thickBot="1" x14ac:dyDescent="0.25">
      <c r="A28" s="662"/>
      <c r="B28" s="210" t="s">
        <v>129</v>
      </c>
      <c r="C28" s="210" t="s">
        <v>142</v>
      </c>
      <c r="D28" s="211" t="s">
        <v>152</v>
      </c>
      <c r="E28" s="711"/>
      <c r="F28" s="210" t="s">
        <v>129</v>
      </c>
      <c r="G28" s="210" t="s">
        <v>142</v>
      </c>
      <c r="H28" s="211" t="s">
        <v>152</v>
      </c>
      <c r="I28" s="711"/>
      <c r="J28" s="215" t="s">
        <v>129</v>
      </c>
      <c r="K28" s="215" t="s">
        <v>142</v>
      </c>
      <c r="L28" s="215" t="s">
        <v>152</v>
      </c>
      <c r="M28" s="711"/>
      <c r="Q28" s="66"/>
    </row>
    <row r="29" spans="1:17" ht="17.100000000000001" customHeight="1" x14ac:dyDescent="0.2">
      <c r="A29" s="386" t="s">
        <v>7</v>
      </c>
      <c r="B29" s="387">
        <v>36309188.350000001</v>
      </c>
      <c r="C29" s="387">
        <v>81834799.829999998</v>
      </c>
      <c r="D29" s="387">
        <v>46010065.100000001</v>
      </c>
      <c r="E29" s="388">
        <f>56911199.59+3646722.93</f>
        <v>60557922.520000003</v>
      </c>
      <c r="F29" s="387">
        <v>341127569.38</v>
      </c>
      <c r="G29" s="387">
        <v>339298940.76999998</v>
      </c>
      <c r="H29" s="387">
        <v>400740891.81999999</v>
      </c>
      <c r="I29" s="388">
        <f>427258733.28+39441914.07</f>
        <v>466700647.34999996</v>
      </c>
      <c r="J29" s="405">
        <f>B9+F9+J9+N9+B29+F29</f>
        <v>591083770.95000005</v>
      </c>
      <c r="K29" s="406">
        <f>C9+G9+K9+O9+C29+G29</f>
        <v>655330022.90999997</v>
      </c>
      <c r="L29" s="406">
        <f>D9+H9+L9+P9+D29+H29</f>
        <v>623919431.04999995</v>
      </c>
      <c r="M29" s="388">
        <f>E9+I9+M9+Q9+E29+I29</f>
        <v>725249801.49000001</v>
      </c>
      <c r="O29" s="412"/>
      <c r="Q29" s="66"/>
    </row>
    <row r="30" spans="1:17" ht="17.100000000000001" customHeight="1" x14ac:dyDescent="0.2">
      <c r="A30" s="390" t="s">
        <v>8</v>
      </c>
      <c r="B30" s="391">
        <v>14521245.08</v>
      </c>
      <c r="C30" s="391">
        <v>12199505.42</v>
      </c>
      <c r="D30" s="391">
        <v>16235712.719999999</v>
      </c>
      <c r="E30" s="392">
        <f>15327734.42+7860906.54</f>
        <v>23188640.960000001</v>
      </c>
      <c r="F30" s="391">
        <v>420214346.32000005</v>
      </c>
      <c r="G30" s="391">
        <v>443556322.52000004</v>
      </c>
      <c r="H30" s="391">
        <v>491911563.79999995</v>
      </c>
      <c r="I30" s="392">
        <f>493871212.51+24748324.26</f>
        <v>518619536.76999998</v>
      </c>
      <c r="J30" s="348">
        <f t="shared" ref="J30:M40" si="3">B10+F10+J10+N10+B30+F30</f>
        <v>635065505.42000008</v>
      </c>
      <c r="K30" s="406">
        <f t="shared" si="3"/>
        <v>606205424.23000002</v>
      </c>
      <c r="L30" s="406">
        <f t="shared" si="3"/>
        <v>646965827.43999994</v>
      </c>
      <c r="M30" s="388">
        <f t="shared" si="3"/>
        <v>731242193.18999994</v>
      </c>
      <c r="O30" s="412"/>
      <c r="Q30" s="66"/>
    </row>
    <row r="31" spans="1:17" ht="17.100000000000001" customHeight="1" x14ac:dyDescent="0.2">
      <c r="A31" s="390" t="s">
        <v>9</v>
      </c>
      <c r="B31" s="391">
        <v>303860392.41999996</v>
      </c>
      <c r="C31" s="391">
        <v>314342749.03000003</v>
      </c>
      <c r="D31" s="391">
        <v>325749039.32999998</v>
      </c>
      <c r="E31" s="392">
        <f>11102736.91+397437102.32</f>
        <v>408539839.23000002</v>
      </c>
      <c r="F31" s="391">
        <v>218822493.73000002</v>
      </c>
      <c r="G31" s="391">
        <v>172465589.19</v>
      </c>
      <c r="H31" s="391">
        <v>226972169.84</v>
      </c>
      <c r="I31" s="392">
        <f>253838580.11+53335135.21</f>
        <v>307173715.31999999</v>
      </c>
      <c r="J31" s="348">
        <f t="shared" si="3"/>
        <v>708193641.07999992</v>
      </c>
      <c r="K31" s="406">
        <f t="shared" si="3"/>
        <v>599508379.8900001</v>
      </c>
      <c r="L31" s="406">
        <f t="shared" si="3"/>
        <v>665899794.28999996</v>
      </c>
      <c r="M31" s="388">
        <f t="shared" si="3"/>
        <v>875426373.0999999</v>
      </c>
      <c r="O31" s="412"/>
      <c r="Q31" s="66"/>
    </row>
    <row r="32" spans="1:17" ht="17.100000000000001" customHeight="1" x14ac:dyDescent="0.2">
      <c r="A32" s="390" t="s">
        <v>10</v>
      </c>
      <c r="B32" s="391">
        <v>52740666.170000002</v>
      </c>
      <c r="C32" s="391">
        <v>86677429.63000001</v>
      </c>
      <c r="D32" s="391">
        <v>86353663.849999994</v>
      </c>
      <c r="E32" s="392">
        <f>79641833.05+14765602.56</f>
        <v>94407435.609999999</v>
      </c>
      <c r="F32" s="391">
        <v>219029944.34999999</v>
      </c>
      <c r="G32" s="391">
        <v>261685164.47</v>
      </c>
      <c r="H32" s="391">
        <v>350419050.11000001</v>
      </c>
      <c r="I32" s="392">
        <f>316153140.52+25981175.36</f>
        <v>342134315.88</v>
      </c>
      <c r="J32" s="348">
        <f t="shared" si="3"/>
        <v>421037737.96000004</v>
      </c>
      <c r="K32" s="406">
        <f t="shared" si="3"/>
        <v>390225107.5</v>
      </c>
      <c r="L32" s="406">
        <f t="shared" si="3"/>
        <v>541994530.45000005</v>
      </c>
      <c r="M32" s="388">
        <f t="shared" si="3"/>
        <v>569104840.21000004</v>
      </c>
      <c r="O32" s="412"/>
      <c r="Q32" s="66"/>
    </row>
    <row r="33" spans="1:17" ht="17.100000000000001" customHeight="1" x14ac:dyDescent="0.2">
      <c r="A33" s="390" t="s">
        <v>11</v>
      </c>
      <c r="B33" s="391">
        <v>0</v>
      </c>
      <c r="C33" s="391">
        <v>14648015.859999999</v>
      </c>
      <c r="D33" s="391">
        <v>44828663.789999999</v>
      </c>
      <c r="E33" s="392">
        <f>26434470.05+26685911.03</f>
        <v>53120381.079999998</v>
      </c>
      <c r="F33" s="391">
        <v>315610937.76999998</v>
      </c>
      <c r="G33" s="391">
        <v>434703525.30000001</v>
      </c>
      <c r="H33" s="391">
        <v>538314846.14999998</v>
      </c>
      <c r="I33" s="392">
        <f>536593449.58+29423377.36</f>
        <v>566016826.93999994</v>
      </c>
      <c r="J33" s="348">
        <f t="shared" si="3"/>
        <v>362850658.14999998</v>
      </c>
      <c r="K33" s="406">
        <f t="shared" si="3"/>
        <v>527510129.56</v>
      </c>
      <c r="L33" s="406">
        <f t="shared" si="3"/>
        <v>705545517.49000001</v>
      </c>
      <c r="M33" s="388">
        <f t="shared" si="3"/>
        <v>781596921.56999993</v>
      </c>
      <c r="O33" s="412"/>
      <c r="Q33" s="66"/>
    </row>
    <row r="34" spans="1:17" ht="17.100000000000001" customHeight="1" x14ac:dyDescent="0.2">
      <c r="A34" s="390" t="s">
        <v>12</v>
      </c>
      <c r="B34" s="391">
        <v>127269360.92</v>
      </c>
      <c r="C34" s="391">
        <v>363365952.23000002</v>
      </c>
      <c r="D34" s="391">
        <v>354087847.23000002</v>
      </c>
      <c r="E34" s="392">
        <f>17958087.96+408142577.94</f>
        <v>426100665.89999998</v>
      </c>
      <c r="F34" s="391">
        <v>207283989.04000002</v>
      </c>
      <c r="G34" s="391">
        <v>310635630.85000002</v>
      </c>
      <c r="H34" s="391">
        <v>352175365.78000003</v>
      </c>
      <c r="I34" s="392">
        <f>337812834.41+23390592.92</f>
        <v>361203427.33000004</v>
      </c>
      <c r="J34" s="348">
        <f t="shared" si="3"/>
        <v>468027854.29000002</v>
      </c>
      <c r="K34" s="406">
        <f t="shared" si="3"/>
        <v>806397800.69000006</v>
      </c>
      <c r="L34" s="406">
        <f t="shared" si="3"/>
        <v>865763389.45000005</v>
      </c>
      <c r="M34" s="388">
        <f>E14+I14+M14+Q14+E34+I34</f>
        <v>980215890.58000004</v>
      </c>
      <c r="O34" s="412"/>
      <c r="Q34" s="66"/>
    </row>
    <row r="35" spans="1:17" ht="17.100000000000001" customHeight="1" x14ac:dyDescent="0.2">
      <c r="A35" s="378" t="s">
        <v>13</v>
      </c>
      <c r="B35" s="391">
        <v>233375384.70999998</v>
      </c>
      <c r="C35" s="391">
        <v>413459856.82999998</v>
      </c>
      <c r="D35" s="391">
        <v>549130259.65999997</v>
      </c>
      <c r="E35" s="392">
        <f>496551977.08+397231566.07</f>
        <v>893783543.14999998</v>
      </c>
      <c r="F35" s="391">
        <v>296444964.03999996</v>
      </c>
      <c r="G35" s="391">
        <v>374235468.61000001</v>
      </c>
      <c r="H35" s="391">
        <v>459375582.63</v>
      </c>
      <c r="I35" s="392">
        <f>435699717.34+24504318.32</f>
        <v>460204035.65999997</v>
      </c>
      <c r="J35" s="348">
        <f t="shared" si="3"/>
        <v>721121736.15999997</v>
      </c>
      <c r="K35" s="406">
        <f t="shared" si="3"/>
        <v>954204100.88</v>
      </c>
      <c r="L35" s="406">
        <f t="shared" si="3"/>
        <v>1225026472.9699998</v>
      </c>
      <c r="M35" s="388">
        <f t="shared" si="3"/>
        <v>1597096630.2999997</v>
      </c>
      <c r="O35" s="412"/>
      <c r="Q35" s="66"/>
    </row>
    <row r="36" spans="1:17" ht="17.100000000000001" customHeight="1" x14ac:dyDescent="0.2">
      <c r="A36" s="378" t="s">
        <v>14</v>
      </c>
      <c r="B36" s="391">
        <v>0</v>
      </c>
      <c r="C36" s="391">
        <v>0</v>
      </c>
      <c r="D36" s="391">
        <v>0</v>
      </c>
      <c r="E36" s="392">
        <v>0</v>
      </c>
      <c r="F36" s="391">
        <v>405900212.11000001</v>
      </c>
      <c r="G36" s="391">
        <v>470903444.30000001</v>
      </c>
      <c r="H36" s="391">
        <v>516763487.87</v>
      </c>
      <c r="I36" s="392">
        <f>516717178.64+27857887.03</f>
        <v>544575065.66999996</v>
      </c>
      <c r="J36" s="348">
        <f t="shared" si="3"/>
        <v>603622228.88999999</v>
      </c>
      <c r="K36" s="406">
        <f t="shared" si="3"/>
        <v>615700967.22000003</v>
      </c>
      <c r="L36" s="406">
        <f t="shared" si="3"/>
        <v>678033873.00999999</v>
      </c>
      <c r="M36" s="388">
        <f t="shared" si="3"/>
        <v>741378134.51999998</v>
      </c>
      <c r="Q36" s="66"/>
    </row>
    <row r="37" spans="1:17" ht="17.100000000000001" customHeight="1" x14ac:dyDescent="0.2">
      <c r="A37" s="390" t="s">
        <v>15</v>
      </c>
      <c r="B37" s="391">
        <v>251701214.80000001</v>
      </c>
      <c r="C37" s="391">
        <v>263994552.93000001</v>
      </c>
      <c r="D37" s="391">
        <v>348363871.19999999</v>
      </c>
      <c r="E37" s="392">
        <f>351968612.04</f>
        <v>351968612.04000002</v>
      </c>
      <c r="F37" s="391">
        <v>287264617.94</v>
      </c>
      <c r="G37" s="391">
        <v>287100700.80000001</v>
      </c>
      <c r="H37" s="391">
        <v>334725348.94999999</v>
      </c>
      <c r="I37" s="392">
        <f>301801268.65</f>
        <v>301801268.64999998</v>
      </c>
      <c r="J37" s="348">
        <f t="shared" si="3"/>
        <v>730883536.74000001</v>
      </c>
      <c r="K37" s="406">
        <f t="shared" si="3"/>
        <v>716044314.71000004</v>
      </c>
      <c r="L37" s="406">
        <f t="shared" si="3"/>
        <v>872586119.6500001</v>
      </c>
      <c r="M37" s="388">
        <f t="shared" si="3"/>
        <v>846731560.52999997</v>
      </c>
      <c r="Q37" s="66"/>
    </row>
    <row r="38" spans="1:17" ht="17.100000000000001" customHeight="1" x14ac:dyDescent="0.2">
      <c r="A38" s="378" t="s">
        <v>16</v>
      </c>
      <c r="B38" s="391">
        <v>59149397.939999998</v>
      </c>
      <c r="C38" s="391">
        <v>60516881.009999998</v>
      </c>
      <c r="D38" s="391">
        <v>65873947.880000003</v>
      </c>
      <c r="E38" s="392">
        <f>56319113.11+36042280.78</f>
        <v>92361393.890000001</v>
      </c>
      <c r="F38" s="391">
        <v>292502785.63</v>
      </c>
      <c r="G38" s="391">
        <v>345527238.18000001</v>
      </c>
      <c r="H38" s="391">
        <v>417596662.25</v>
      </c>
      <c r="I38" s="392">
        <f>352874068.51+29654948.44</f>
        <v>382529016.94999999</v>
      </c>
      <c r="J38" s="348">
        <f t="shared" si="3"/>
        <v>553319115.51999998</v>
      </c>
      <c r="K38" s="406">
        <f t="shared" si="3"/>
        <v>565112818.99000001</v>
      </c>
      <c r="L38" s="406">
        <f t="shared" si="3"/>
        <v>645611218.51999998</v>
      </c>
      <c r="M38" s="388">
        <f t="shared" si="3"/>
        <v>656625774.20000005</v>
      </c>
      <c r="Q38" s="66"/>
    </row>
    <row r="39" spans="1:17" ht="17.100000000000001" customHeight="1" x14ac:dyDescent="0.2">
      <c r="A39" s="378" t="s">
        <v>17</v>
      </c>
      <c r="B39" s="391">
        <v>14619868</v>
      </c>
      <c r="C39" s="391">
        <v>9513833.5399999991</v>
      </c>
      <c r="D39" s="391">
        <v>6600879.3600000003</v>
      </c>
      <c r="E39" s="392">
        <f>58576090.59+20781969.62</f>
        <v>79358060.210000008</v>
      </c>
      <c r="F39" s="391">
        <v>427435434.78000003</v>
      </c>
      <c r="G39" s="391">
        <v>494041773.40999997</v>
      </c>
      <c r="H39" s="391">
        <v>604857975.34000003</v>
      </c>
      <c r="I39" s="392">
        <f>511784286.91+23685599.26</f>
        <v>535469886.17000002</v>
      </c>
      <c r="J39" s="348">
        <f t="shared" si="3"/>
        <v>640501684.29999995</v>
      </c>
      <c r="K39" s="406">
        <f t="shared" si="3"/>
        <v>654487680.41999996</v>
      </c>
      <c r="L39" s="406">
        <f t="shared" si="3"/>
        <v>784327957.75</v>
      </c>
      <c r="M39" s="388">
        <f t="shared" si="3"/>
        <v>819858852.82999992</v>
      </c>
      <c r="Q39" s="66"/>
    </row>
    <row r="40" spans="1:17" ht="17.100000000000001" customHeight="1" thickBot="1" x14ac:dyDescent="0.25">
      <c r="A40" s="393" t="s">
        <v>18</v>
      </c>
      <c r="B40" s="394">
        <v>280775876.77000004</v>
      </c>
      <c r="C40" s="394">
        <v>334478038.56</v>
      </c>
      <c r="D40" s="394">
        <v>400617189.49000001</v>
      </c>
      <c r="E40" s="395">
        <f>5958902.88+463828302.09</f>
        <v>469787204.96999997</v>
      </c>
      <c r="F40" s="394">
        <v>338847804.18000001</v>
      </c>
      <c r="G40" s="394">
        <v>439155478.29000002</v>
      </c>
      <c r="H40" s="394">
        <v>404815568.54999995</v>
      </c>
      <c r="I40" s="395">
        <f>477965668.23+52014543.69</f>
        <v>529980211.92000002</v>
      </c>
      <c r="J40" s="349">
        <f t="shared" si="3"/>
        <v>860241963.17000008</v>
      </c>
      <c r="K40" s="406">
        <f t="shared" si="3"/>
        <v>981117369.87000012</v>
      </c>
      <c r="L40" s="406">
        <f t="shared" si="3"/>
        <v>1037500982.9299999</v>
      </c>
      <c r="M40" s="407">
        <f t="shared" si="3"/>
        <v>1251869068.6099999</v>
      </c>
      <c r="Q40" s="66"/>
    </row>
    <row r="41" spans="1:17" ht="21" customHeight="1" thickBot="1" x14ac:dyDescent="0.25">
      <c r="A41" s="397" t="s">
        <v>19</v>
      </c>
      <c r="B41" s="399">
        <f t="shared" ref="B41:D41" si="4">SUM(B29:B40)</f>
        <v>1374322595.1600001</v>
      </c>
      <c r="C41" s="399">
        <f t="shared" si="4"/>
        <v>1955031614.8699999</v>
      </c>
      <c r="D41" s="400">
        <f t="shared" si="4"/>
        <v>2243851139.6099997</v>
      </c>
      <c r="E41" s="401">
        <f t="shared" ref="E41:L41" si="5">SUM(E29:E40)</f>
        <v>2953173699.5599999</v>
      </c>
      <c r="F41" s="402">
        <f t="shared" si="5"/>
        <v>3770485099.27</v>
      </c>
      <c r="G41" s="399">
        <f t="shared" si="5"/>
        <v>4373309276.6900005</v>
      </c>
      <c r="H41" s="400">
        <f t="shared" si="5"/>
        <v>5098668513.0900002</v>
      </c>
      <c r="I41" s="401">
        <f t="shared" si="5"/>
        <v>5316407954.6099997</v>
      </c>
      <c r="J41" s="408">
        <f t="shared" si="5"/>
        <v>7295949432.6300001</v>
      </c>
      <c r="K41" s="409">
        <f t="shared" si="5"/>
        <v>8071844116.8699999</v>
      </c>
      <c r="L41" s="409">
        <f t="shared" si="5"/>
        <v>9293175115</v>
      </c>
      <c r="M41" s="401">
        <f>E21+I21+M21+Q21+E41+I41</f>
        <v>10576396041.130001</v>
      </c>
      <c r="Q41" s="66"/>
    </row>
    <row r="42" spans="1:17" x14ac:dyDescent="0.2">
      <c r="A42" s="92"/>
      <c r="B42" s="73"/>
      <c r="C42" s="73"/>
      <c r="D42" s="73"/>
      <c r="E42" s="213"/>
      <c r="F42" s="73"/>
      <c r="G42" s="73"/>
      <c r="H42" s="73"/>
      <c r="I42" s="213"/>
      <c r="J42" s="71"/>
      <c r="K42" s="73"/>
      <c r="L42" s="73"/>
      <c r="M42" s="213"/>
      <c r="N42" s="73"/>
      <c r="O42" s="73"/>
      <c r="P42" s="73"/>
    </row>
  </sheetData>
  <mergeCells count="18">
    <mergeCell ref="A1:Q1"/>
    <mergeCell ref="A2:Q2"/>
    <mergeCell ref="A5:A8"/>
    <mergeCell ref="B5:E6"/>
    <mergeCell ref="F5:I6"/>
    <mergeCell ref="J5:M6"/>
    <mergeCell ref="N5:Q6"/>
    <mergeCell ref="E7:E8"/>
    <mergeCell ref="I7:I8"/>
    <mergeCell ref="M7:M8"/>
    <mergeCell ref="Q7:Q8"/>
    <mergeCell ref="A25:A28"/>
    <mergeCell ref="B25:E26"/>
    <mergeCell ref="F25:I26"/>
    <mergeCell ref="J25:M26"/>
    <mergeCell ref="E27:E28"/>
    <mergeCell ref="I27:I28"/>
    <mergeCell ref="M27:M28"/>
  </mergeCells>
  <pageMargins left="0.51181102362204722" right="0.51181102362204722" top="0.51181102362204722" bottom="0.51181102362204722" header="0.31496062992125984" footer="0.31496062992125984"/>
  <pageSetup paperSize="9" scale="6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DD28E-1238-4300-9D1D-D5D871AC1A5E}">
  <sheetPr>
    <tabColor theme="5" tint="-0.499984740745262"/>
  </sheetPr>
  <dimension ref="A1:S64"/>
  <sheetViews>
    <sheetView showGridLines="0" view="pageBreakPreview" zoomScale="160" zoomScaleNormal="160" zoomScaleSheetLayoutView="160" workbookViewId="0">
      <selection activeCell="J21" sqref="J2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512" t="s">
        <v>180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451"/>
      <c r="Q1" s="451"/>
      <c r="R1" s="452"/>
      <c r="S1" s="452"/>
    </row>
    <row r="2" spans="1:19" ht="19.5" x14ac:dyDescent="0.3">
      <c r="A2" s="686"/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5" spans="1:19" ht="12.75" customHeight="1" x14ac:dyDescent="0.2"/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1:19" ht="12.75" customHeight="1" x14ac:dyDescent="0.2"/>
    <row r="34" spans="1:19" ht="12.75" customHeight="1" x14ac:dyDescent="0.2"/>
    <row r="35" spans="1:19" ht="12.75" customHeight="1" x14ac:dyDescent="0.2"/>
    <row r="36" spans="1:19" ht="12.75" customHeight="1" x14ac:dyDescent="0.2"/>
    <row r="37" spans="1:19" ht="12.75" customHeight="1" x14ac:dyDescent="0.2"/>
    <row r="38" spans="1:19" ht="6" customHeight="1" x14ac:dyDescent="0.2"/>
    <row r="39" spans="1:19" ht="12.75" customHeight="1" x14ac:dyDescent="0.2">
      <c r="I39" s="472" t="s">
        <v>35</v>
      </c>
      <c r="K39" s="60"/>
    </row>
    <row r="40" spans="1:19" ht="12.75" customHeight="1" x14ac:dyDescent="0.2">
      <c r="K40" s="60"/>
    </row>
    <row r="41" spans="1:19" ht="28.5" x14ac:dyDescent="0.45">
      <c r="A41" s="512" t="s">
        <v>181</v>
      </c>
      <c r="B41" s="685"/>
      <c r="C41" s="685"/>
      <c r="D41" s="685"/>
      <c r="E41" s="685"/>
      <c r="F41" s="685"/>
      <c r="G41" s="685"/>
      <c r="H41" s="685"/>
      <c r="I41" s="685"/>
      <c r="J41" s="685"/>
      <c r="K41" s="685"/>
      <c r="L41" s="685"/>
      <c r="M41" s="685"/>
      <c r="N41" s="685"/>
      <c r="O41" s="685"/>
      <c r="P41" s="452"/>
      <c r="Q41" s="452"/>
      <c r="R41" s="452"/>
      <c r="S41" s="452"/>
    </row>
    <row r="42" spans="1:19" ht="19.5" x14ac:dyDescent="0.3">
      <c r="A42" s="686"/>
      <c r="B42" s="687"/>
      <c r="C42" s="687"/>
      <c r="D42" s="687"/>
      <c r="E42" s="687"/>
      <c r="F42" s="687"/>
      <c r="G42" s="687"/>
      <c r="H42" s="687"/>
      <c r="I42" s="687"/>
      <c r="J42" s="687"/>
      <c r="K42" s="687"/>
      <c r="L42" s="687"/>
      <c r="M42" s="687"/>
      <c r="N42" s="687"/>
      <c r="O42" s="687"/>
      <c r="P42"/>
      <c r="Q42"/>
      <c r="R42"/>
      <c r="S42"/>
    </row>
    <row r="43" spans="1:19" ht="12.75" customHeight="1" x14ac:dyDescent="0.2"/>
    <row r="64" spans="11:19" x14ac:dyDescent="0.2">
      <c r="K64" s="632"/>
      <c r="L64" s="633"/>
      <c r="M64" s="633"/>
      <c r="N64" s="633"/>
      <c r="O64" s="633"/>
      <c r="P64" s="633"/>
      <c r="Q64" s="633"/>
      <c r="R64" s="633"/>
      <c r="S64" s="633"/>
    </row>
  </sheetData>
  <mergeCells count="5">
    <mergeCell ref="A1:O1"/>
    <mergeCell ref="A2:O2"/>
    <mergeCell ref="A41:O41"/>
    <mergeCell ref="A42:O42"/>
    <mergeCell ref="K64:S64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40" max="14" man="1"/>
  </rowBreak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52FA1-7DF0-4724-A93F-7E68DD169F51}">
  <sheetPr>
    <tabColor rgb="FF000000"/>
    <pageSetUpPr fitToPage="1"/>
  </sheetPr>
  <dimension ref="A1:N48"/>
  <sheetViews>
    <sheetView showGridLines="0" zoomScale="140" zoomScaleNormal="140" zoomScaleSheetLayoutView="130" workbookViewId="0">
      <selection activeCell="I20" sqref="I20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85" t="s">
        <v>184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20.25" x14ac:dyDescent="0.3">
      <c r="A2" s="638" t="s">
        <v>204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A3" s="212"/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67" t="s">
        <v>2</v>
      </c>
      <c r="B4" s="694" t="s">
        <v>185</v>
      </c>
      <c r="C4" s="696"/>
      <c r="D4" s="697"/>
      <c r="E4" s="701" t="s">
        <v>159</v>
      </c>
      <c r="F4" s="696"/>
      <c r="G4" s="697"/>
      <c r="H4" s="694" t="s">
        <v>186</v>
      </c>
      <c r="I4" s="696"/>
      <c r="J4" s="697"/>
      <c r="K4" s="688" t="s">
        <v>187</v>
      </c>
      <c r="L4" s="696"/>
      <c r="M4" s="697"/>
      <c r="N4" s="73"/>
    </row>
    <row r="5" spans="1:14" ht="14.45" customHeight="1" thickBot="1" x14ac:dyDescent="0.25">
      <c r="A5" s="645"/>
      <c r="B5" s="698"/>
      <c r="C5" s="699"/>
      <c r="D5" s="700"/>
      <c r="E5" s="698"/>
      <c r="F5" s="699"/>
      <c r="G5" s="700"/>
      <c r="H5" s="698"/>
      <c r="I5" s="699"/>
      <c r="J5" s="700"/>
      <c r="K5" s="698"/>
      <c r="L5" s="699"/>
      <c r="M5" s="700"/>
      <c r="N5" s="71"/>
    </row>
    <row r="6" spans="1:14" ht="14.45" customHeight="1" x14ac:dyDescent="0.2">
      <c r="A6" s="645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84" t="s">
        <v>6</v>
      </c>
      <c r="I6" s="557" t="s">
        <v>31</v>
      </c>
      <c r="J6" s="559" t="s">
        <v>32</v>
      </c>
      <c r="K6" s="584" t="s">
        <v>23</v>
      </c>
      <c r="L6" s="557" t="s">
        <v>31</v>
      </c>
      <c r="M6" s="559" t="s">
        <v>32</v>
      </c>
    </row>
    <row r="7" spans="1:14" ht="14.45" customHeight="1" thickBot="1" x14ac:dyDescent="0.25">
      <c r="A7" s="646"/>
      <c r="B7" s="636"/>
      <c r="C7" s="635"/>
      <c r="D7" s="634"/>
      <c r="E7" s="636"/>
      <c r="F7" s="635"/>
      <c r="G7" s="634"/>
      <c r="H7" s="636"/>
      <c r="I7" s="635"/>
      <c r="J7" s="634"/>
      <c r="K7" s="636"/>
      <c r="L7" s="635"/>
      <c r="M7" s="634"/>
    </row>
    <row r="8" spans="1:14" ht="15.95" customHeight="1" x14ac:dyDescent="0.2">
      <c r="A8" s="245" t="s">
        <v>7</v>
      </c>
      <c r="B8" s="247">
        <f>62673677.42+96674518.91</f>
        <v>159348196.32999998</v>
      </c>
      <c r="C8" s="248">
        <f>C20/12</f>
        <v>143333833.33333334</v>
      </c>
      <c r="D8" s="249">
        <f>B8-C8</f>
        <v>16014362.99666664</v>
      </c>
      <c r="E8" s="250">
        <f>3988207.89+6378948.61</f>
        <v>10367156.5</v>
      </c>
      <c r="F8" s="248">
        <f>F20/12</f>
        <v>9110500</v>
      </c>
      <c r="G8" s="249">
        <f>E8-F8</f>
        <v>1256656.5</v>
      </c>
      <c r="H8" s="250">
        <f>5979889.25+1797726.66</f>
        <v>7777615.9100000001</v>
      </c>
      <c r="I8" s="248">
        <f>I20/12</f>
        <v>11478833.333333334</v>
      </c>
      <c r="J8" s="251">
        <f>H8-I8</f>
        <v>-3701217.4233333338</v>
      </c>
      <c r="K8" s="250">
        <f>25980579.63+8284756.7</f>
        <v>34265336.329999998</v>
      </c>
      <c r="L8" s="248">
        <f>L20/12</f>
        <v>24733416.666666668</v>
      </c>
      <c r="M8" s="251">
        <f>K8-L8</f>
        <v>9531919.6633333303</v>
      </c>
    </row>
    <row r="9" spans="1:14" ht="15.95" customHeight="1" x14ac:dyDescent="0.2">
      <c r="A9" s="246" t="s">
        <v>8</v>
      </c>
      <c r="B9" s="252">
        <f>64719395.18+82943760.03</f>
        <v>147663155.21000001</v>
      </c>
      <c r="C9" s="253">
        <f>C8*2</f>
        <v>286667666.66666669</v>
      </c>
      <c r="D9" s="249">
        <f>SUM(B8+B9)-C9</f>
        <v>20343684.873333275</v>
      </c>
      <c r="E9" s="247">
        <f>4270429.24+5472941.45</f>
        <v>9743370.6900000013</v>
      </c>
      <c r="F9" s="253">
        <f>F8*2</f>
        <v>18221000</v>
      </c>
      <c r="G9" s="249">
        <f>SUM(E8+E9)-F9</f>
        <v>1889527.1900000013</v>
      </c>
      <c r="H9" s="247">
        <f>2771428.53+3190224.84</f>
        <v>5961653.3699999992</v>
      </c>
      <c r="I9" s="253">
        <f>I8*2</f>
        <v>22957666.666666668</v>
      </c>
      <c r="J9" s="249">
        <f>SUM(H8+H9)-I9</f>
        <v>-9218397.3866666686</v>
      </c>
      <c r="K9" s="252">
        <f>26991769.39+7898040.31</f>
        <v>34889809.700000003</v>
      </c>
      <c r="L9" s="253">
        <f>L8*2</f>
        <v>49466833.333333336</v>
      </c>
      <c r="M9" s="249">
        <f>SUM(K8+K9)-L9</f>
        <v>19688312.696666665</v>
      </c>
    </row>
    <row r="10" spans="1:14" ht="15.95" customHeight="1" x14ac:dyDescent="0.2">
      <c r="A10" s="246" t="s">
        <v>9</v>
      </c>
      <c r="B10" s="252">
        <f>53923085.33+71690761.3</f>
        <v>125613846.63</v>
      </c>
      <c r="C10" s="253">
        <f>C8*3</f>
        <v>430001500</v>
      </c>
      <c r="D10" s="249">
        <f>SUM(B8+B9+B10)-C10</f>
        <v>2623698.1699999571</v>
      </c>
      <c r="E10" s="247">
        <f>3558048.11+4730426.2</f>
        <v>8288474.3100000005</v>
      </c>
      <c r="F10" s="254">
        <f>F8*3</f>
        <v>27331500</v>
      </c>
      <c r="G10" s="249">
        <f>SUM(E8+E9+E10)-F10</f>
        <v>1067501.5</v>
      </c>
      <c r="H10" s="247">
        <f>5352849.54+6545928.73</f>
        <v>11898778.27</v>
      </c>
      <c r="I10" s="254">
        <f>I8*3</f>
        <v>34436500</v>
      </c>
      <c r="J10" s="249">
        <f>SUM(H8+H9+H10)-I10</f>
        <v>-8798452.450000003</v>
      </c>
      <c r="K10" s="252">
        <f>21216309.43+8381783.33</f>
        <v>29598092.759999998</v>
      </c>
      <c r="L10" s="254">
        <f>L8*3</f>
        <v>74200250</v>
      </c>
      <c r="M10" s="249">
        <f>SUM(K8+K9+K10)-L10</f>
        <v>24552988.789999992</v>
      </c>
    </row>
    <row r="11" spans="1:14" ht="15.95" customHeight="1" x14ac:dyDescent="0.2">
      <c r="A11" s="246" t="s">
        <v>10</v>
      </c>
      <c r="B11" s="252">
        <f>44725329.1+68288508.43</f>
        <v>113013837.53</v>
      </c>
      <c r="C11" s="253">
        <f>C8*4</f>
        <v>573335333.33333337</v>
      </c>
      <c r="D11" s="249">
        <f>SUM(B8+B9+B10+B11)-C11</f>
        <v>-27696297.633333445</v>
      </c>
      <c r="E11" s="247">
        <f>2951145.56+4505932.76</f>
        <v>7457078.3200000003</v>
      </c>
      <c r="F11" s="253">
        <f>F8*4</f>
        <v>36442000</v>
      </c>
      <c r="G11" s="249">
        <f>SUM(E8+E9+E10+E11)-F11</f>
        <v>-585920.1799999997</v>
      </c>
      <c r="H11" s="247">
        <v>0</v>
      </c>
      <c r="I11" s="253">
        <f>I8*4</f>
        <v>45915333.333333336</v>
      </c>
      <c r="J11" s="249">
        <f>SUM(H8+H9+H10+H11)-I11</f>
        <v>-20277285.783333339</v>
      </c>
      <c r="K11" s="252">
        <f>15460811.28+10388638.04</f>
        <v>25849449.32</v>
      </c>
      <c r="L11" s="253">
        <f>L8*4</f>
        <v>98933666.666666672</v>
      </c>
      <c r="M11" s="249">
        <f>SUM(K8+K9+K10+K11)-L11</f>
        <v>25669021.443333313</v>
      </c>
    </row>
    <row r="12" spans="1:14" ht="15.95" customHeight="1" x14ac:dyDescent="0.2">
      <c r="A12" s="246" t="s">
        <v>11</v>
      </c>
      <c r="B12" s="252">
        <f>49699253.71+92490070.3</f>
        <v>142189324.00999999</v>
      </c>
      <c r="C12" s="253">
        <f>C8*5</f>
        <v>716669166.66666675</v>
      </c>
      <c r="D12" s="249">
        <f>SUM(B8+B9+B10+B11+B12)-C12</f>
        <v>-28840806.956666827</v>
      </c>
      <c r="E12" s="247">
        <f>3279343.79+6102842.91</f>
        <v>9382186.6999999993</v>
      </c>
      <c r="F12" s="253">
        <f>F8*5</f>
        <v>45552500</v>
      </c>
      <c r="G12" s="249">
        <f>SUM(E8+E9+E10+E11+E12)-F12</f>
        <v>-314233.48000000417</v>
      </c>
      <c r="H12" s="247">
        <v>0</v>
      </c>
      <c r="I12" s="253">
        <f>I8*5</f>
        <v>57394166.666666672</v>
      </c>
      <c r="J12" s="249">
        <f>SUM(H8+H9+H10+H11+H12)-I12</f>
        <v>-31756119.116666675</v>
      </c>
      <c r="K12" s="252">
        <f>21987593.26+9271113.94</f>
        <v>31258707.200000003</v>
      </c>
      <c r="L12" s="253">
        <f>L8*5</f>
        <v>123667083.33333334</v>
      </c>
      <c r="M12" s="249">
        <f>SUM(K8+K9+K10+K11+K12)-L12</f>
        <v>32194311.976666659</v>
      </c>
    </row>
    <row r="13" spans="1:14" ht="15.95" customHeight="1" x14ac:dyDescent="0.2">
      <c r="A13" s="246" t="s">
        <v>12</v>
      </c>
      <c r="B13" s="252">
        <f>64310431.33+91568066.9</f>
        <v>155878498.23000002</v>
      </c>
      <c r="C13" s="253">
        <f>C8*6</f>
        <v>860003000</v>
      </c>
      <c r="D13" s="249">
        <f>SUM(B8+B9+B10+B11+B12+B13)-C13</f>
        <v>-16296142.060000062</v>
      </c>
      <c r="E13" s="247">
        <f>4243444.31+6042005.67</f>
        <v>10285449.98</v>
      </c>
      <c r="F13" s="253">
        <f>F8*6</f>
        <v>54663000</v>
      </c>
      <c r="G13" s="249">
        <f>SUM(E8+E9+E10+E11+E12+E13)-F13</f>
        <v>860716.5</v>
      </c>
      <c r="H13" s="247">
        <v>0</v>
      </c>
      <c r="I13" s="253">
        <f>I8*6</f>
        <v>68873000</v>
      </c>
      <c r="J13" s="249">
        <f>SUM(H8+H9+H10+H11+H12+H13)-I13</f>
        <v>-43234952.450000003</v>
      </c>
      <c r="K13" s="252">
        <f>24157713.14+9837711.03</f>
        <v>33995424.170000002</v>
      </c>
      <c r="L13" s="253">
        <f>L8*6</f>
        <v>148400500</v>
      </c>
      <c r="M13" s="249">
        <f>SUM(K8+K9+K10+K11+K12+K13)-L13</f>
        <v>41456319.480000019</v>
      </c>
    </row>
    <row r="14" spans="1:14" ht="15.95" customHeight="1" x14ac:dyDescent="0.2">
      <c r="A14" s="246" t="s">
        <v>13</v>
      </c>
      <c r="B14" s="252">
        <f>68425990.6+95613316.18</f>
        <v>164039306.78</v>
      </c>
      <c r="C14" s="253">
        <f>C8*7</f>
        <v>1003336833.3333334</v>
      </c>
      <c r="D14" s="249">
        <f>SUM(B8+B9+B10+B11+B12+B13+B14)-C14</f>
        <v>4409331.3866665363</v>
      </c>
      <c r="E14" s="247">
        <f>4515004.33+6308926.46</f>
        <v>10823930.789999999</v>
      </c>
      <c r="F14" s="253">
        <f>F8*7</f>
        <v>63773500</v>
      </c>
      <c r="G14" s="249">
        <f>SUM(E8+E9+E10+E11+E12+E13+E14)-F14</f>
        <v>2574147.2899999991</v>
      </c>
      <c r="H14" s="247">
        <f>18570881.08+20774323.73</f>
        <v>39345204.810000002</v>
      </c>
      <c r="I14" s="253">
        <f>I8*7</f>
        <v>80351833.333333343</v>
      </c>
      <c r="J14" s="249">
        <f>SUM(H8+H9+H10+H11+H12+H13+H14)-I14</f>
        <v>-15368580.973333344</v>
      </c>
      <c r="K14" s="252">
        <f>39584204.47+17067092.02</f>
        <v>56651296.489999995</v>
      </c>
      <c r="L14" s="253">
        <f>L8*7</f>
        <v>173133916.66666669</v>
      </c>
      <c r="M14" s="249">
        <f>SUM(K8+K9+K10+K11+K12+K13+K14)-L14</f>
        <v>73374199.303333342</v>
      </c>
    </row>
    <row r="15" spans="1:14" ht="15.95" customHeight="1" x14ac:dyDescent="0.2">
      <c r="A15" s="246" t="s">
        <v>14</v>
      </c>
      <c r="B15" s="252">
        <f>62612306.17+100115495.78</f>
        <v>162727801.94999999</v>
      </c>
      <c r="C15" s="253">
        <f>C8*8</f>
        <v>1146670666.6666667</v>
      </c>
      <c r="D15" s="249">
        <f>SUM(B8+B9+B10+B11+B12+B13+B14+B15)-C15</f>
        <v>23803300.003333092</v>
      </c>
      <c r="E15" s="247">
        <f>4131395.6+6605997.18</f>
        <v>10737392.779999999</v>
      </c>
      <c r="F15" s="253">
        <f>F8*8</f>
        <v>72884000</v>
      </c>
      <c r="G15" s="249">
        <f>SUM(E8+E9+E10+E11+E12+E13+E14+E15)-F15</f>
        <v>4201040.0699999928</v>
      </c>
      <c r="H15" s="247">
        <v>0</v>
      </c>
      <c r="I15" s="253">
        <f>I8*8</f>
        <v>91830666.666666672</v>
      </c>
      <c r="J15" s="249">
        <f>SUM(H8+H9+H10+H11+H12+H13+H14+H15)-I15</f>
        <v>-26847414.306666672</v>
      </c>
      <c r="K15" s="252">
        <f>27553494.55+11418222.87</f>
        <v>38971717.420000002</v>
      </c>
      <c r="L15" s="253">
        <f>L8*8</f>
        <v>197867333.33333334</v>
      </c>
      <c r="M15" s="249">
        <f>SUM(K8+K9+K10+K11+K12+K13+K14+K15)-L15</f>
        <v>87612500.056666702</v>
      </c>
    </row>
    <row r="16" spans="1:14" ht="15.95" customHeight="1" x14ac:dyDescent="0.2">
      <c r="A16" s="246" t="s">
        <v>15</v>
      </c>
      <c r="B16" s="252">
        <f>59316371.8+75385866.72</f>
        <v>134702238.51999998</v>
      </c>
      <c r="C16" s="253">
        <f>C8*9</f>
        <v>1290004500</v>
      </c>
      <c r="D16" s="249">
        <f>SUM(B8+B9+B10+B11+B12+B13+B14+B15+B16)-C16</f>
        <v>15171705.189999819</v>
      </c>
      <c r="E16" s="247">
        <f>3913917.43+5356181.08</f>
        <v>9270098.5099999998</v>
      </c>
      <c r="F16" s="253">
        <f>F8*9</f>
        <v>81994500</v>
      </c>
      <c r="G16" s="249">
        <f>SUM(E8+E9+E10+E11+E12+E13+E14+E15+E16)-F16</f>
        <v>4360638.5799999982</v>
      </c>
      <c r="H16" s="247">
        <f>420574.19+15868506.98</f>
        <v>16289081.17</v>
      </c>
      <c r="I16" s="253">
        <f>I8*9</f>
        <v>103309500</v>
      </c>
      <c r="J16" s="249">
        <f>SUM(H8+H9+H10+H11+H12+H13+H14+H15+H16)-I16</f>
        <v>-22037166.469999999</v>
      </c>
      <c r="K16" s="252">
        <f>22998883.53+18806250.22</f>
        <v>41805133.75</v>
      </c>
      <c r="L16" s="253">
        <f>L8*9</f>
        <v>222600750</v>
      </c>
      <c r="M16" s="249">
        <f>SUM(K8+K9+K10+K11+K12+K13+K14+K15+K16)-L16</f>
        <v>104684217.14000005</v>
      </c>
    </row>
    <row r="17" spans="1:13" ht="15.95" customHeight="1" x14ac:dyDescent="0.2">
      <c r="A17" s="246" t="s">
        <v>16</v>
      </c>
      <c r="B17" s="252">
        <f>64743356.57+89897990.11</f>
        <v>154641346.68000001</v>
      </c>
      <c r="C17" s="253">
        <f>C8*10</f>
        <v>1433338333.3333335</v>
      </c>
      <c r="D17" s="249">
        <f>SUM(B8+B9+B10+B11+B12+B13+B14+B15+B16+B17)-C17</f>
        <v>26479218.536666393</v>
      </c>
      <c r="E17" s="247">
        <f>4291912.07+5959441.83</f>
        <v>10251353.9</v>
      </c>
      <c r="F17" s="253">
        <f>F8*10</f>
        <v>91105000</v>
      </c>
      <c r="G17" s="249">
        <f>SUM(E8+E9+E10+E11+E12+E13+E14+E15+E16+E17)-F17</f>
        <v>5501492.4800000042</v>
      </c>
      <c r="H17" s="247">
        <f>10452557.91+2256823.88</f>
        <v>12709381.789999999</v>
      </c>
      <c r="I17" s="253">
        <f>I8*10</f>
        <v>114788333.33333334</v>
      </c>
      <c r="J17" s="249">
        <f>SUM(H8+H9+H10+H11+H12+H13+H14+H15+H16+H17)-I17</f>
        <v>-20806618.01333335</v>
      </c>
      <c r="K17" s="252">
        <f>24100298.84+9576787.55</f>
        <v>33677086.390000001</v>
      </c>
      <c r="L17" s="253">
        <f>L8*10</f>
        <v>247334166.66666669</v>
      </c>
      <c r="M17" s="249">
        <f>SUM(K8+K9+K10+K11+K12+K13+K14+K15+K16+K17)-L17</f>
        <v>113627886.86333334</v>
      </c>
    </row>
    <row r="18" spans="1:13" ht="15.95" customHeight="1" x14ac:dyDescent="0.2">
      <c r="A18" s="246" t="s">
        <v>17</v>
      </c>
      <c r="B18" s="252">
        <f>59510463.2+99217882.1</f>
        <v>158728345.30000001</v>
      </c>
      <c r="C18" s="253">
        <f>C8*11</f>
        <v>1576672166.6666667</v>
      </c>
      <c r="D18" s="249">
        <f>SUM(B8+B9+B10+B11+B12+B13+B14+B15+B16+B17+B18)-C18</f>
        <v>41873730.503333092</v>
      </c>
      <c r="E18" s="247">
        <f>3945017.47+6577268.24</f>
        <v>10522285.710000001</v>
      </c>
      <c r="F18" s="253">
        <f>F8*11</f>
        <v>100215500</v>
      </c>
      <c r="G18" s="249">
        <f>SUM(E8+E9+E10+E11+E12+E13+E14+E15+E16+E17+E18)-F18</f>
        <v>6913278.1899999976</v>
      </c>
      <c r="H18" s="247">
        <f>4726326.42+2908214.77</f>
        <v>7634541.1899999995</v>
      </c>
      <c r="I18" s="253">
        <f>I8*11</f>
        <v>126267166.66666667</v>
      </c>
      <c r="J18" s="249">
        <f>SUM(H8+H9+H10+H11+H12+H13+H14+H15+H16+H17+H18)-I18</f>
        <v>-24650910.156666681</v>
      </c>
      <c r="K18" s="252">
        <f>21935818.45+8692939.09</f>
        <v>30628757.539999999</v>
      </c>
      <c r="L18" s="253">
        <f>L8*11</f>
        <v>272067583.33333337</v>
      </c>
      <c r="M18" s="249">
        <f>SUM(K8+K9+K10+K11+K12+K13+K14+K15+K16+K17+K18)-L18</f>
        <v>119523227.73666668</v>
      </c>
    </row>
    <row r="19" spans="1:13" ht="15.95" customHeight="1" thickBot="1" x14ac:dyDescent="0.25">
      <c r="A19" s="339" t="s">
        <v>18</v>
      </c>
      <c r="B19" s="331">
        <f>57664027.02+129482871.12</f>
        <v>187146898.14000002</v>
      </c>
      <c r="C19" s="332">
        <f>C8*12</f>
        <v>1720006000</v>
      </c>
      <c r="D19" s="249">
        <f>SUM(B8+B9+B10+B11+B12+B13+B14+B15+B16+B17+B18+B19)-C19</f>
        <v>85686795.309999943</v>
      </c>
      <c r="E19" s="333">
        <f>3822615.09+8583569.41</f>
        <v>12406184.5</v>
      </c>
      <c r="F19" s="332">
        <f>F8*12</f>
        <v>109326000</v>
      </c>
      <c r="G19" s="249">
        <f>SUM(E8+E9+E10+E11+E12+E13+E14+E15+E16+E17+E18+E19)-F19</f>
        <v>10208962.689999998</v>
      </c>
      <c r="H19" s="333">
        <f>2326417.78+32407184.69</f>
        <v>34733602.469999999</v>
      </c>
      <c r="I19" s="332">
        <f>I8*12</f>
        <v>137746000</v>
      </c>
      <c r="J19" s="249">
        <f>SUM(H8+H9+H10+H11+H12+H13+H14+H15+H16+H17+H18+H19)-I19</f>
        <v>-1396141.0200000107</v>
      </c>
      <c r="K19" s="334">
        <f>19462586.67+12922832.14</f>
        <v>32385418.810000002</v>
      </c>
      <c r="L19" s="332">
        <f>L8*12</f>
        <v>296801000</v>
      </c>
      <c r="M19" s="249">
        <f>SUM(K8+K9+K10+K11+K12+K13+K14+K15+K16+K17+K18+K19)-L19</f>
        <v>127175229.88000005</v>
      </c>
    </row>
    <row r="20" spans="1:13" ht="15.95" customHeight="1" thickBot="1" x14ac:dyDescent="0.25">
      <c r="A20" s="257" t="s">
        <v>19</v>
      </c>
      <c r="B20" s="345">
        <f>SUM(B8:B19)</f>
        <v>1805692795.3099999</v>
      </c>
      <c r="C20" s="258">
        <v>1720006000</v>
      </c>
      <c r="D20" s="259"/>
      <c r="E20" s="345">
        <f>SUM(E8:E19)</f>
        <v>119534962.69</v>
      </c>
      <c r="F20" s="258">
        <v>109326000</v>
      </c>
      <c r="G20" s="260"/>
      <c r="H20" s="345">
        <f>SUM(H8:H19)</f>
        <v>136349858.97999999</v>
      </c>
      <c r="I20" s="258">
        <v>137746000</v>
      </c>
      <c r="J20" s="260"/>
      <c r="K20" s="345">
        <f>SUM(K8:K19)</f>
        <v>423976229.88000005</v>
      </c>
      <c r="L20" s="258">
        <v>296801000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67" t="s">
        <v>2</v>
      </c>
      <c r="B24" s="688" t="s">
        <v>188</v>
      </c>
      <c r="C24" s="689"/>
      <c r="D24" s="690"/>
      <c r="E24" s="694" t="s">
        <v>189</v>
      </c>
      <c r="F24" s="689"/>
      <c r="G24" s="690"/>
      <c r="H24" s="695" t="s">
        <v>22</v>
      </c>
      <c r="I24" s="689"/>
      <c r="J24" s="690"/>
      <c r="K24" s="370"/>
    </row>
    <row r="25" spans="1:13" ht="14.45" customHeight="1" thickBot="1" x14ac:dyDescent="0.25">
      <c r="A25" s="596"/>
      <c r="B25" s="691"/>
      <c r="C25" s="692"/>
      <c r="D25" s="693"/>
      <c r="E25" s="691"/>
      <c r="F25" s="692"/>
      <c r="G25" s="693"/>
      <c r="H25" s="691"/>
      <c r="I25" s="692"/>
      <c r="J25" s="693"/>
      <c r="K25" s="370"/>
    </row>
    <row r="26" spans="1:13" ht="14.45" customHeight="1" x14ac:dyDescent="0.2">
      <c r="A26" s="596"/>
      <c r="B26" s="563" t="s">
        <v>24</v>
      </c>
      <c r="C26" s="557" t="s">
        <v>31</v>
      </c>
      <c r="D26" s="559" t="s">
        <v>32</v>
      </c>
      <c r="E26" s="563" t="s">
        <v>25</v>
      </c>
      <c r="F26" s="557" t="s">
        <v>31</v>
      </c>
      <c r="G26" s="559" t="s">
        <v>32</v>
      </c>
      <c r="H26" s="566" t="s">
        <v>19</v>
      </c>
      <c r="I26" s="557" t="s">
        <v>31</v>
      </c>
      <c r="J26" s="559" t="s">
        <v>32</v>
      </c>
      <c r="K26" s="553" t="s">
        <v>116</v>
      </c>
    </row>
    <row r="27" spans="1:13" ht="14.45" customHeight="1" thickBot="1" x14ac:dyDescent="0.25">
      <c r="A27" s="597"/>
      <c r="B27" s="655"/>
      <c r="C27" s="635"/>
      <c r="D27" s="634"/>
      <c r="E27" s="655"/>
      <c r="F27" s="654"/>
      <c r="G27" s="634"/>
      <c r="H27" s="636"/>
      <c r="I27" s="635"/>
      <c r="J27" s="634"/>
      <c r="K27" s="653"/>
    </row>
    <row r="28" spans="1:13" ht="15.95" customHeight="1" x14ac:dyDescent="0.2">
      <c r="A28" s="261" t="s">
        <v>7</v>
      </c>
      <c r="B28" s="262">
        <f>41770675.95+6633434.22</f>
        <v>48404110.170000002</v>
      </c>
      <c r="C28" s="248">
        <f>C40/12</f>
        <v>222557000</v>
      </c>
      <c r="D28" s="251">
        <f>B28-C28</f>
        <v>-174152889.82999998</v>
      </c>
      <c r="E28" s="263">
        <f>430420100.05+31191610.51</f>
        <v>461611710.56</v>
      </c>
      <c r="F28" s="264">
        <f>F40/12</f>
        <v>448468833.33333331</v>
      </c>
      <c r="G28" s="265">
        <f>E28-F28</f>
        <v>13142877.226666689</v>
      </c>
      <c r="H28" s="266">
        <f t="shared" ref="H28:H40" si="0">$B8+$E8+$H8+$K8+$B28+$E28</f>
        <v>721774125.79999995</v>
      </c>
      <c r="I28" s="264">
        <f>I40/12</f>
        <v>859682416.66666663</v>
      </c>
      <c r="J28" s="267">
        <f>H28-I28</f>
        <v>-137908290.86666667</v>
      </c>
      <c r="K28" s="268">
        <f>J28/I40</f>
        <v>-1.3368143106593596E-2</v>
      </c>
    </row>
    <row r="29" spans="1:13" ht="15.95" customHeight="1" x14ac:dyDescent="0.2">
      <c r="A29" s="269" t="s">
        <v>8</v>
      </c>
      <c r="B29" s="270">
        <f>8708506.07+12125254.82</f>
        <v>20833760.890000001</v>
      </c>
      <c r="C29" s="253">
        <f>C28*2</f>
        <v>445114000</v>
      </c>
      <c r="D29" s="249">
        <f>SUM(B28+B29)-C29</f>
        <v>-375876128.94</v>
      </c>
      <c r="E29" s="271">
        <f>496346430.57+23512052.37</f>
        <v>519858482.94</v>
      </c>
      <c r="F29" s="254">
        <f>F28*2</f>
        <v>896937666.66666663</v>
      </c>
      <c r="G29" s="249">
        <f>SUM(E28+E29)-F29</f>
        <v>84532526.833333373</v>
      </c>
      <c r="H29" s="256">
        <f t="shared" si="0"/>
        <v>738950232.79999995</v>
      </c>
      <c r="I29" s="254">
        <f>I28*2</f>
        <v>1719364833.3333333</v>
      </c>
      <c r="J29" s="249">
        <f>SUM(H28+H29)-I29</f>
        <v>-258640474.73333335</v>
      </c>
      <c r="K29" s="272">
        <f>J29/I40</f>
        <v>-2.5071319916040054E-2</v>
      </c>
    </row>
    <row r="30" spans="1:13" ht="15.95" customHeight="1" x14ac:dyDescent="0.2">
      <c r="A30" s="269" t="s">
        <v>9</v>
      </c>
      <c r="B30" s="273">
        <f>14383104.57+459104031.42</f>
        <v>473487135.99000001</v>
      </c>
      <c r="C30" s="254">
        <f>C28*3</f>
        <v>667671000</v>
      </c>
      <c r="D30" s="249">
        <f>SUM(B28+B29+B30)-C30</f>
        <v>-124945992.95000005</v>
      </c>
      <c r="E30" s="271">
        <f>286804342.45+27540648.55</f>
        <v>314344991</v>
      </c>
      <c r="F30" s="254">
        <f>F28*3</f>
        <v>1345406500</v>
      </c>
      <c r="G30" s="249">
        <f>SUM(E28+E29+E30)-F30</f>
        <v>-49591315.5</v>
      </c>
      <c r="H30" s="255">
        <f t="shared" si="0"/>
        <v>963231318.96000004</v>
      </c>
      <c r="I30" s="254">
        <f>I28*3</f>
        <v>2579047250</v>
      </c>
      <c r="J30" s="249">
        <f>SUM(H28+H29+H30)-I30</f>
        <v>-155091572.44000006</v>
      </c>
      <c r="K30" s="272">
        <f>J30/I40</f>
        <v>-1.5033804871159307E-2</v>
      </c>
    </row>
    <row r="31" spans="1:13" ht="15.95" customHeight="1" x14ac:dyDescent="0.2">
      <c r="A31" s="269" t="s">
        <v>10</v>
      </c>
      <c r="B31" s="270">
        <f>57120352.91+14835322.08</f>
        <v>71955674.989999995</v>
      </c>
      <c r="C31" s="253">
        <f>C28*4</f>
        <v>890228000</v>
      </c>
      <c r="D31" s="249">
        <f>SUM(B28+B29+B30+B31)-C31</f>
        <v>-275547317.96000004</v>
      </c>
      <c r="E31" s="274">
        <f>322681875.6+28434574.24</f>
        <v>351116449.84000003</v>
      </c>
      <c r="F31" s="253">
        <f>F28*4</f>
        <v>1793875333.3333333</v>
      </c>
      <c r="G31" s="249">
        <f>SUM(E28+E29+E30+E31)-F31</f>
        <v>-146943698.9933331</v>
      </c>
      <c r="H31" s="255">
        <f t="shared" si="0"/>
        <v>569392490</v>
      </c>
      <c r="I31" s="253">
        <f>I28*4</f>
        <v>3438729666.6666665</v>
      </c>
      <c r="J31" s="249">
        <f>SUM(H28+H29+H30+H31)-I31</f>
        <v>-445381499.10666656</v>
      </c>
      <c r="K31" s="272">
        <f>J31/I40</f>
        <v>-4.31730650831103E-2</v>
      </c>
    </row>
    <row r="32" spans="1:13" ht="15.95" customHeight="1" x14ac:dyDescent="0.2">
      <c r="A32" s="269" t="s">
        <v>11</v>
      </c>
      <c r="B32" s="273">
        <f>32216965.31+28944843.55</f>
        <v>61161808.859999999</v>
      </c>
      <c r="C32" s="253">
        <f>C28*5</f>
        <v>1112785000</v>
      </c>
      <c r="D32" s="249">
        <f>SUM(B28+B29+B30+B31+B32)-C32</f>
        <v>-436942509.10000002</v>
      </c>
      <c r="E32" s="274">
        <f>453334524.37+24101979.82</f>
        <v>477436504.19</v>
      </c>
      <c r="F32" s="253">
        <f>F28*5</f>
        <v>2242344166.6666665</v>
      </c>
      <c r="G32" s="249">
        <f>SUM(E28+E29+E30+E31+E32)-F32</f>
        <v>-117976028.1366663</v>
      </c>
      <c r="H32" s="255">
        <f t="shared" si="0"/>
        <v>721428530.96000004</v>
      </c>
      <c r="I32" s="253">
        <f>I28*5</f>
        <v>4298412083.333333</v>
      </c>
      <c r="J32" s="249">
        <f>SUM(H28+H29+H30+H31+H32)-I32</f>
        <v>-583635384.81333303</v>
      </c>
      <c r="K32" s="272">
        <f>J32/I40</f>
        <v>-5.6574708432865377E-2</v>
      </c>
    </row>
    <row r="33" spans="1:13" ht="15.95" customHeight="1" x14ac:dyDescent="0.2">
      <c r="A33" s="269" t="s">
        <v>12</v>
      </c>
      <c r="B33" s="270">
        <f>12360156.14+357185683.52</f>
        <v>369545839.65999997</v>
      </c>
      <c r="C33" s="253">
        <f>C28*6</f>
        <v>1335342000</v>
      </c>
      <c r="D33" s="249">
        <f>SUM(B28+B29+B30+B31+B32+B33)-C33</f>
        <v>-289953669.44000006</v>
      </c>
      <c r="E33" s="274">
        <f>386809740.63+22489289.44</f>
        <v>409299030.06999999</v>
      </c>
      <c r="F33" s="253">
        <f>F28*6</f>
        <v>2690813000</v>
      </c>
      <c r="G33" s="249">
        <f>SUM(E28+E29+E30+E31+E32+E33)-F33</f>
        <v>-157145831.39999962</v>
      </c>
      <c r="H33" s="255">
        <f t="shared" si="0"/>
        <v>979004242.1099999</v>
      </c>
      <c r="I33" s="253">
        <f>I28*6</f>
        <v>5158094500</v>
      </c>
      <c r="J33" s="249">
        <f>SUM(H28+H29+H30+H31+H32+H33)-I33</f>
        <v>-464313559.36999989</v>
      </c>
      <c r="K33" s="272">
        <f>J33/I40</f>
        <v>-4.5008244747163889E-2</v>
      </c>
    </row>
    <row r="34" spans="1:13" ht="15.95" customHeight="1" x14ac:dyDescent="0.2">
      <c r="A34" s="269" t="s">
        <v>13</v>
      </c>
      <c r="B34" s="273">
        <f>433569080.3+172688678.37</f>
        <v>606257758.67000008</v>
      </c>
      <c r="C34" s="253">
        <f>C28*7</f>
        <v>1557899000</v>
      </c>
      <c r="D34" s="249">
        <f>SUM(B28+B29+B30+B31+B32+B33+B34)-C34</f>
        <v>93747089.230000019</v>
      </c>
      <c r="E34" s="274">
        <f>392162141.61+35089235.71</f>
        <v>427251377.31999999</v>
      </c>
      <c r="F34" s="253">
        <f>F28*7</f>
        <v>3139281833.333333</v>
      </c>
      <c r="G34" s="249">
        <f>SUM(E28+E29+E30+E31+E32+E33+E34)-F34</f>
        <v>-178363287.41333246</v>
      </c>
      <c r="H34" s="255">
        <f t="shared" si="0"/>
        <v>1304368874.8600001</v>
      </c>
      <c r="I34" s="253">
        <f>I28*7</f>
        <v>6017776916.666666</v>
      </c>
      <c r="J34" s="249">
        <f>SUM(H28+H29+H30+H31+H32+H33+H34)-I34</f>
        <v>-19627101.17666626</v>
      </c>
      <c r="K34" s="272">
        <f>J34/I40</f>
        <v>-1.9025534697615816E-3</v>
      </c>
    </row>
    <row r="35" spans="1:13" ht="15.95" customHeight="1" x14ac:dyDescent="0.2">
      <c r="A35" s="269" t="s">
        <v>14</v>
      </c>
      <c r="B35" s="270">
        <v>0</v>
      </c>
      <c r="C35" s="253">
        <f>C28*8</f>
        <v>1780456000</v>
      </c>
      <c r="D35" s="249">
        <f>SUM(B28+B29+B30+B31+B32+B33+B34+B35)-C35</f>
        <v>-128809910.76999998</v>
      </c>
      <c r="E35" s="274">
        <f>471088453.55+27714961.65</f>
        <v>498803415.19999999</v>
      </c>
      <c r="F35" s="253">
        <f>F28*8</f>
        <v>3587750666.6666665</v>
      </c>
      <c r="G35" s="249">
        <f>SUM(E28+E29+E30+E31+E32+E33+E34+E35)-F35</f>
        <v>-128028705.54666615</v>
      </c>
      <c r="H35" s="255">
        <f t="shared" si="0"/>
        <v>711240327.3499999</v>
      </c>
      <c r="I35" s="253">
        <f>I28*8</f>
        <v>6877459333.333333</v>
      </c>
      <c r="J35" s="249">
        <f>SUM(H28+H29+H30+H31+H32+H33+H34+H35)-I35</f>
        <v>-168069190.49333286</v>
      </c>
      <c r="K35" s="272">
        <f>J35/I40</f>
        <v>-1.6291790553016511E-2</v>
      </c>
    </row>
    <row r="36" spans="1:13" ht="15.95" customHeight="1" x14ac:dyDescent="0.2">
      <c r="A36" s="269" t="s">
        <v>15</v>
      </c>
      <c r="B36" s="273">
        <f>230914580.38</f>
        <v>230914580.38</v>
      </c>
      <c r="C36" s="253">
        <f>C28*9</f>
        <v>2003013000</v>
      </c>
      <c r="D36" s="249">
        <f>SUM(B28+B29+B30+B31+B32+B33+B34+B35+B36)-C36</f>
        <v>-120452330.38999987</v>
      </c>
      <c r="E36" s="274">
        <f>361077242.57+2568582.34</f>
        <v>363645824.90999997</v>
      </c>
      <c r="F36" s="253">
        <f>F28*9</f>
        <v>4036219500</v>
      </c>
      <c r="G36" s="249">
        <f>SUM(E28+E29+E30+E31+E32+E33+E34+E35+E36)-F36</f>
        <v>-212851713.96999979</v>
      </c>
      <c r="H36" s="255">
        <f t="shared" si="0"/>
        <v>796626957.23999989</v>
      </c>
      <c r="I36" s="253">
        <f>I28*9</f>
        <v>7737141750</v>
      </c>
      <c r="J36" s="249">
        <f>SUM(H28+H29+H30+H31+H32+H33+H34+H35+H36)-I36</f>
        <v>-231124649.92000008</v>
      </c>
      <c r="K36" s="272">
        <f>J36/I40</f>
        <v>-2.2404072852872322E-2</v>
      </c>
    </row>
    <row r="37" spans="1:13" ht="15.95" customHeight="1" x14ac:dyDescent="0.2">
      <c r="A37" s="269" t="s">
        <v>16</v>
      </c>
      <c r="B37" s="270">
        <f>213200536.81+20723652.68</f>
        <v>233924189.49000001</v>
      </c>
      <c r="C37" s="253">
        <f>C28*10</f>
        <v>2225570000</v>
      </c>
      <c r="D37" s="249">
        <f>SUM(B28+B29+B30+B31+B32+B33+B34+B35+B36+B37)-C37</f>
        <v>-109085140.89999986</v>
      </c>
      <c r="E37" s="274">
        <f>369902465.45+32622445.2</f>
        <v>402524910.64999998</v>
      </c>
      <c r="F37" s="253">
        <f>F28*10</f>
        <v>4484688333.333333</v>
      </c>
      <c r="G37" s="249">
        <f>SUM(E28+E29+E30+E31+E32+E33+E34+E35+E36+E37)-F37</f>
        <v>-258795636.65333271</v>
      </c>
      <c r="H37" s="255">
        <f t="shared" si="0"/>
        <v>847728268.89999998</v>
      </c>
      <c r="I37" s="253">
        <f>I28*10</f>
        <v>8596824166.666666</v>
      </c>
      <c r="J37" s="249">
        <f>SUM(H28+H29+H30+H31+H32+H33+H34+H35+H36+H37)-I37</f>
        <v>-243078797.68666649</v>
      </c>
      <c r="K37" s="272">
        <f>J37/I40</f>
        <v>-2.3562848420736231E-2</v>
      </c>
    </row>
    <row r="38" spans="1:13" ht="15.95" customHeight="1" x14ac:dyDescent="0.2">
      <c r="A38" s="269" t="s">
        <v>17</v>
      </c>
      <c r="B38" s="270">
        <f>5897230.36+21228564.17</f>
        <v>27125794.530000001</v>
      </c>
      <c r="C38" s="253">
        <f>C28*11</f>
        <v>2448127000</v>
      </c>
      <c r="D38" s="249">
        <f>SUM(B28+B29+B30+B31+B32+B33+B34+B35+B36+B37+B38)-C38</f>
        <v>-304516346.36999989</v>
      </c>
      <c r="E38" s="274">
        <f>513474392.22+43002532.31</f>
        <v>556476924.52999997</v>
      </c>
      <c r="F38" s="253">
        <f>F28*11</f>
        <v>4933157166.666666</v>
      </c>
      <c r="G38" s="249">
        <f>SUM(E28+E29+E30+E31+E32+E33+E34+E35+E36+E37+E38)-F38</f>
        <v>-150787545.45666599</v>
      </c>
      <c r="H38" s="255">
        <f t="shared" si="0"/>
        <v>791116648.79999995</v>
      </c>
      <c r="I38" s="253">
        <f>I28*11</f>
        <v>9456506583.3333321</v>
      </c>
      <c r="J38" s="249">
        <f>SUM(H28+H29+H30+H31+H32+H33+H34+H35+H36+H37+H38)-I38</f>
        <v>-311644565.55333328</v>
      </c>
      <c r="K38" s="272">
        <f>J38/I40</f>
        <v>-3.0209272586352701E-2</v>
      </c>
    </row>
    <row r="39" spans="1:13" ht="15.95" customHeight="1" thickBot="1" x14ac:dyDescent="0.25">
      <c r="A39" s="340" t="s">
        <v>18</v>
      </c>
      <c r="B39" s="335">
        <f>8189990.92+474323570.99</f>
        <v>482513561.91000003</v>
      </c>
      <c r="C39" s="332">
        <f>C28*12</f>
        <v>2670684000</v>
      </c>
      <c r="D39" s="410">
        <f>SUM(B28+B29+B30+B31+B32+B33+B34+B35+B36+B37+B38+B39)-C39</f>
        <v>-44559784.460000038</v>
      </c>
      <c r="E39" s="337">
        <f>439580250.26+49566213.83</f>
        <v>489146464.08999997</v>
      </c>
      <c r="F39" s="332">
        <f>F28*12</f>
        <v>5381626000</v>
      </c>
      <c r="G39" s="249">
        <f>SUM(E28+E29+E30+E31+E32+E33+E34+E35+E36+E37+E38+E39)-F39</f>
        <v>-110109914.69999981</v>
      </c>
      <c r="H39" s="275">
        <f t="shared" si="0"/>
        <v>1238332129.9200001</v>
      </c>
      <c r="I39" s="338">
        <f>I28*12</f>
        <v>10316189000</v>
      </c>
      <c r="J39" s="411">
        <f>SUM(H28+H29+H30+H31+H32+H33+H34+H35+H36+H37+H38+H39)-I39</f>
        <v>67005147.699998856</v>
      </c>
      <c r="K39" s="272">
        <f>J39/I40</f>
        <v>6.4951454165873513E-3</v>
      </c>
    </row>
    <row r="40" spans="1:13" ht="15.95" customHeight="1" thickBot="1" x14ac:dyDescent="0.25">
      <c r="A40" s="257" t="s">
        <v>19</v>
      </c>
      <c r="B40" s="347">
        <f>SUM(B28:B39)</f>
        <v>2626124215.54</v>
      </c>
      <c r="C40" s="276">
        <v>2670684000</v>
      </c>
      <c r="D40" s="277"/>
      <c r="E40" s="345">
        <f>SUM(E28:E39)</f>
        <v>5271516085.3000002</v>
      </c>
      <c r="F40" s="258">
        <v>5381626000</v>
      </c>
      <c r="G40" s="278"/>
      <c r="H40" s="351">
        <f t="shared" si="0"/>
        <v>10383194147.700001</v>
      </c>
      <c r="I40" s="279">
        <f>C20+F20+I20+L20+C40+F40</f>
        <v>10316189000</v>
      </c>
      <c r="J40" s="280"/>
      <c r="K40" s="350"/>
    </row>
    <row r="41" spans="1:13" x14ac:dyDescent="0.2">
      <c r="A41" s="659"/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42:M42"/>
    <mergeCell ref="E26:E27"/>
    <mergeCell ref="F26:F27"/>
    <mergeCell ref="G26:G27"/>
    <mergeCell ref="H26:H27"/>
    <mergeCell ref="I26:I27"/>
    <mergeCell ref="J26:J2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6">
    <tabColor theme="5" tint="-0.499984740745262"/>
  </sheetPr>
  <dimension ref="A1:S48"/>
  <sheetViews>
    <sheetView showGridLines="0" topLeftCell="B1" zoomScaleNormal="100" workbookViewId="0">
      <selection sqref="A1:S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42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18" x14ac:dyDescent="0.25">
      <c r="E2" s="58"/>
    </row>
    <row r="3" spans="1:19" ht="15.75" x14ac:dyDescent="0.25">
      <c r="A3" s="59"/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43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</sheetData>
  <mergeCells count="2">
    <mergeCell ref="B1:S1"/>
    <mergeCell ref="B48:S48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4D989-9960-4390-A642-5FFFEC268E66}">
  <sheetPr>
    <tabColor rgb="FF000000"/>
  </sheetPr>
  <dimension ref="A1:S61"/>
  <sheetViews>
    <sheetView showGridLines="0" showRuler="0" view="pageBreakPreview" zoomScale="160" zoomScaleNormal="160" zoomScaleSheetLayoutView="160" zoomScalePageLayoutView="160" workbookViewId="0">
      <selection activeCell="I20" sqref="I2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679" t="s">
        <v>190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451"/>
      <c r="Q1" s="451"/>
      <c r="R1" s="452"/>
      <c r="S1" s="452"/>
    </row>
    <row r="2" spans="1:19" ht="20.25" x14ac:dyDescent="0.25">
      <c r="A2" s="681" t="s">
        <v>204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/>
      <c r="Q2"/>
      <c r="R2"/>
      <c r="S2"/>
    </row>
    <row r="3" spans="1:19" ht="12.75" customHeight="1" x14ac:dyDescent="0.25">
      <c r="A3" s="59"/>
    </row>
    <row r="37" spans="1:19" ht="14.1" customHeight="1" x14ac:dyDescent="0.2">
      <c r="I37" s="719" t="s">
        <v>35</v>
      </c>
      <c r="J37" s="720"/>
      <c r="K37" s="720"/>
      <c r="L37" s="720"/>
      <c r="M37" s="720"/>
      <c r="N37" s="720"/>
      <c r="O37" s="720"/>
    </row>
    <row r="38" spans="1:19" ht="28.5" x14ac:dyDescent="0.45">
      <c r="A38" s="679" t="s">
        <v>191</v>
      </c>
      <c r="B38" s="680"/>
      <c r="C38" s="680"/>
      <c r="D38" s="680"/>
      <c r="E38" s="680"/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452"/>
      <c r="Q38" s="452"/>
      <c r="R38" s="452"/>
      <c r="S38" s="452"/>
    </row>
    <row r="39" spans="1:19" ht="20.25" x14ac:dyDescent="0.25">
      <c r="A39" s="681" t="s">
        <v>204</v>
      </c>
      <c r="B39" s="680"/>
      <c r="C39" s="680"/>
      <c r="D39" s="680"/>
      <c r="E39" s="680"/>
      <c r="F39" s="680"/>
      <c r="G39" s="680"/>
      <c r="H39" s="680"/>
      <c r="I39" s="680"/>
      <c r="J39" s="680"/>
      <c r="K39" s="680"/>
      <c r="L39" s="680"/>
      <c r="M39" s="680"/>
      <c r="N39" s="680"/>
      <c r="O39" s="680"/>
      <c r="P39"/>
      <c r="Q39"/>
      <c r="R39"/>
      <c r="S39"/>
    </row>
    <row r="61" spans="11:19" x14ac:dyDescent="0.2">
      <c r="K61" s="632"/>
      <c r="L61" s="633"/>
      <c r="M61" s="633"/>
      <c r="N61" s="633"/>
      <c r="O61" s="633"/>
      <c r="P61" s="633"/>
      <c r="Q61" s="633"/>
      <c r="R61" s="633"/>
      <c r="S61" s="633"/>
    </row>
  </sheetData>
  <mergeCells count="6">
    <mergeCell ref="K61:S61"/>
    <mergeCell ref="A1:O1"/>
    <mergeCell ref="A2:O2"/>
    <mergeCell ref="I37:O37"/>
    <mergeCell ref="A38:O38"/>
    <mergeCell ref="A39:O39"/>
  </mergeCells>
  <printOptions horizontalCentered="1"/>
  <pageMargins left="0.51181102362204722" right="0.51181102362204722" top="0.51181102362204722" bottom="0.51181102362204722" header="0.51181102362204722" footer="0.51181102362204722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3F206-55B4-46F2-85A8-9E2AD794F837}">
  <sheetPr>
    <tabColor rgb="FF000000"/>
    <pageSetUpPr fitToPage="1"/>
  </sheetPr>
  <dimension ref="A1:N48"/>
  <sheetViews>
    <sheetView showGridLines="0" topLeftCell="A18" zoomScale="140" zoomScaleNormal="140" zoomScaleSheetLayoutView="140" workbookViewId="0">
      <selection activeCell="I20" sqref="I20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85" t="s">
        <v>192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20.25" x14ac:dyDescent="0.3">
      <c r="A2" s="638" t="s">
        <v>204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67" t="s">
        <v>2</v>
      </c>
      <c r="B4" s="694" t="s">
        <v>185</v>
      </c>
      <c r="C4" s="696"/>
      <c r="D4" s="697"/>
      <c r="E4" s="701" t="s">
        <v>159</v>
      </c>
      <c r="F4" s="696"/>
      <c r="G4" s="697"/>
      <c r="H4" s="694" t="s">
        <v>186</v>
      </c>
      <c r="I4" s="696"/>
      <c r="J4" s="697"/>
      <c r="K4" s="688" t="s">
        <v>187</v>
      </c>
      <c r="L4" s="696"/>
      <c r="M4" s="697"/>
      <c r="N4" s="73"/>
    </row>
    <row r="5" spans="1:14" ht="14.45" customHeight="1" thickBot="1" x14ac:dyDescent="0.25">
      <c r="A5" s="645"/>
      <c r="B5" s="698"/>
      <c r="C5" s="699"/>
      <c r="D5" s="700"/>
      <c r="E5" s="698"/>
      <c r="F5" s="699"/>
      <c r="G5" s="700"/>
      <c r="H5" s="698"/>
      <c r="I5" s="699"/>
      <c r="J5" s="700"/>
      <c r="K5" s="698"/>
      <c r="L5" s="699"/>
      <c r="M5" s="700"/>
      <c r="N5" s="71"/>
    </row>
    <row r="6" spans="1:14" ht="14.45" customHeight="1" x14ac:dyDescent="0.2">
      <c r="A6" s="645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84" t="s">
        <v>6</v>
      </c>
      <c r="I6" s="557" t="s">
        <v>31</v>
      </c>
      <c r="J6" s="559" t="s">
        <v>32</v>
      </c>
      <c r="K6" s="584" t="s">
        <v>23</v>
      </c>
      <c r="L6" s="557" t="s">
        <v>31</v>
      </c>
      <c r="M6" s="559" t="s">
        <v>32</v>
      </c>
    </row>
    <row r="7" spans="1:14" ht="14.45" customHeight="1" thickBot="1" x14ac:dyDescent="0.25">
      <c r="A7" s="646"/>
      <c r="B7" s="636"/>
      <c r="C7" s="635"/>
      <c r="D7" s="634"/>
      <c r="E7" s="636"/>
      <c r="F7" s="635"/>
      <c r="G7" s="634"/>
      <c r="H7" s="636"/>
      <c r="I7" s="635"/>
      <c r="J7" s="634"/>
      <c r="K7" s="636"/>
      <c r="L7" s="635"/>
      <c r="M7" s="634"/>
    </row>
    <row r="8" spans="1:14" ht="15.95" customHeight="1" x14ac:dyDescent="0.2">
      <c r="A8" s="245" t="s">
        <v>7</v>
      </c>
      <c r="B8" s="247">
        <f>62673677.42+96674518.91</f>
        <v>159348196.32999998</v>
      </c>
      <c r="C8" s="248">
        <f>C20/12</f>
        <v>143333833.33333334</v>
      </c>
      <c r="D8" s="249">
        <f>B8-C8</f>
        <v>16014362.99666664</v>
      </c>
      <c r="E8" s="250">
        <f>3988207.89+6378948.61</f>
        <v>10367156.5</v>
      </c>
      <c r="F8" s="248">
        <f>F20/12</f>
        <v>9110500</v>
      </c>
      <c r="G8" s="249">
        <f>E8-F8</f>
        <v>1256656.5</v>
      </c>
      <c r="H8" s="250">
        <f>5979889.25+1797726.66</f>
        <v>7777615.9100000001</v>
      </c>
      <c r="I8" s="248">
        <f>I20/12</f>
        <v>11478833.333333334</v>
      </c>
      <c r="J8" s="251">
        <f>H8-I8</f>
        <v>-3701217.4233333338</v>
      </c>
      <c r="K8" s="250">
        <f>25980579.63+8284756.7</f>
        <v>34265336.329999998</v>
      </c>
      <c r="L8" s="248">
        <f>L20/12</f>
        <v>24733416.666666668</v>
      </c>
      <c r="M8" s="251">
        <f>K8-L8</f>
        <v>9531919.6633333303</v>
      </c>
    </row>
    <row r="9" spans="1:14" ht="15.95" customHeight="1" x14ac:dyDescent="0.2">
      <c r="A9" s="246" t="s">
        <v>8</v>
      </c>
      <c r="B9" s="252">
        <f>64719395.18+82943760.03+B8</f>
        <v>307011351.53999996</v>
      </c>
      <c r="C9" s="253">
        <f>C8*2</f>
        <v>286667666.66666669</v>
      </c>
      <c r="D9" s="249">
        <f>B9-C9</f>
        <v>20343684.873333275</v>
      </c>
      <c r="E9" s="247">
        <f>4270429.24+5472941.45+E8</f>
        <v>20110527.190000001</v>
      </c>
      <c r="F9" s="253">
        <f>F8*2</f>
        <v>18221000</v>
      </c>
      <c r="G9" s="249">
        <f t="shared" ref="G9:G19" si="0">E9-F9</f>
        <v>1889527.1900000013</v>
      </c>
      <c r="H9" s="247">
        <f>2771428.53+3190224.84+H8</f>
        <v>13739269.279999999</v>
      </c>
      <c r="I9" s="253">
        <f>I8*2</f>
        <v>22957666.666666668</v>
      </c>
      <c r="J9" s="249">
        <f t="shared" ref="J9:J19" si="1">H9-I9</f>
        <v>-9218397.3866666686</v>
      </c>
      <c r="K9" s="252">
        <f>26991769.39+7898040.31+K8</f>
        <v>69155146.030000001</v>
      </c>
      <c r="L9" s="253">
        <f>L8*2</f>
        <v>49466833.333333336</v>
      </c>
      <c r="M9" s="249">
        <f t="shared" ref="M9:M19" si="2">K9-L9</f>
        <v>19688312.696666665</v>
      </c>
    </row>
    <row r="10" spans="1:14" ht="15.95" customHeight="1" x14ac:dyDescent="0.2">
      <c r="A10" s="246" t="s">
        <v>9</v>
      </c>
      <c r="B10" s="252">
        <f>53923085.33+71690761.3+B9</f>
        <v>432625198.16999996</v>
      </c>
      <c r="C10" s="253">
        <f>C8*3</f>
        <v>430001500</v>
      </c>
      <c r="D10" s="249">
        <f>B10-C10</f>
        <v>2623698.1699999571</v>
      </c>
      <c r="E10" s="247">
        <f>3558048.11+4730426.2+E9</f>
        <v>28399001.5</v>
      </c>
      <c r="F10" s="254">
        <f>F8*3</f>
        <v>27331500</v>
      </c>
      <c r="G10" s="249">
        <f t="shared" si="0"/>
        <v>1067501.5</v>
      </c>
      <c r="H10" s="247">
        <f>5352849.54+6545928.73+H9</f>
        <v>25638047.549999997</v>
      </c>
      <c r="I10" s="254">
        <f>I8*3</f>
        <v>34436500</v>
      </c>
      <c r="J10" s="249">
        <f t="shared" si="1"/>
        <v>-8798452.450000003</v>
      </c>
      <c r="K10" s="252">
        <f>21216309.43+8381783.33+K9</f>
        <v>98753238.789999992</v>
      </c>
      <c r="L10" s="254">
        <f>L8*3</f>
        <v>74200250</v>
      </c>
      <c r="M10" s="249">
        <f t="shared" si="2"/>
        <v>24552988.789999992</v>
      </c>
    </row>
    <row r="11" spans="1:14" ht="15.95" customHeight="1" x14ac:dyDescent="0.2">
      <c r="A11" s="246" t="s">
        <v>10</v>
      </c>
      <c r="B11" s="252">
        <f>44725329.1+68288508.43+B10</f>
        <v>545639035.69999993</v>
      </c>
      <c r="C11" s="253">
        <f>C8*4</f>
        <v>573335333.33333337</v>
      </c>
      <c r="D11" s="249">
        <f t="shared" ref="D11:D19" si="3">B11-C11</f>
        <v>-27696297.633333445</v>
      </c>
      <c r="E11" s="247">
        <f>2951145.56+4505932.76+E10</f>
        <v>35856079.82</v>
      </c>
      <c r="F11" s="253">
        <f>F8*4</f>
        <v>36442000</v>
      </c>
      <c r="G11" s="249">
        <f t="shared" si="0"/>
        <v>-585920.1799999997</v>
      </c>
      <c r="H11" s="247">
        <f t="shared" ref="H11:H15" si="4">0+H10</f>
        <v>25638047.549999997</v>
      </c>
      <c r="I11" s="253">
        <f>I8*4</f>
        <v>45915333.333333336</v>
      </c>
      <c r="J11" s="249">
        <f t="shared" si="1"/>
        <v>-20277285.783333339</v>
      </c>
      <c r="K11" s="252">
        <f>15460811.28+10388638.04+K10</f>
        <v>124602688.10999998</v>
      </c>
      <c r="L11" s="253">
        <f>L8*4</f>
        <v>98933666.666666672</v>
      </c>
      <c r="M11" s="249">
        <f t="shared" si="2"/>
        <v>25669021.443333313</v>
      </c>
    </row>
    <row r="12" spans="1:14" ht="15.95" customHeight="1" x14ac:dyDescent="0.2">
      <c r="A12" s="246" t="s">
        <v>11</v>
      </c>
      <c r="B12" s="252">
        <f>49699253.71+92490070.3+B11</f>
        <v>687828359.70999992</v>
      </c>
      <c r="C12" s="253">
        <f>C8*5</f>
        <v>716669166.66666675</v>
      </c>
      <c r="D12" s="249">
        <f t="shared" si="3"/>
        <v>-28840806.956666827</v>
      </c>
      <c r="E12" s="247">
        <f>3279343.79+6102842.91+E11</f>
        <v>45238266.519999996</v>
      </c>
      <c r="F12" s="253">
        <f>F8*5</f>
        <v>45552500</v>
      </c>
      <c r="G12" s="249">
        <f t="shared" si="0"/>
        <v>-314233.48000000417</v>
      </c>
      <c r="H12" s="247">
        <f t="shared" si="4"/>
        <v>25638047.549999997</v>
      </c>
      <c r="I12" s="253">
        <f>I8*5</f>
        <v>57394166.666666672</v>
      </c>
      <c r="J12" s="249">
        <f t="shared" si="1"/>
        <v>-31756119.116666675</v>
      </c>
      <c r="K12" s="252">
        <f>21987593.26+9271113.94+K11</f>
        <v>155861395.31</v>
      </c>
      <c r="L12" s="253">
        <f>L8*5</f>
        <v>123667083.33333334</v>
      </c>
      <c r="M12" s="249">
        <f>K12-L12</f>
        <v>32194311.976666659</v>
      </c>
    </row>
    <row r="13" spans="1:14" ht="15.95" customHeight="1" x14ac:dyDescent="0.2">
      <c r="A13" s="246" t="s">
        <v>12</v>
      </c>
      <c r="B13" s="252">
        <f>64310431.33+91568066.9+B12</f>
        <v>843706857.93999994</v>
      </c>
      <c r="C13" s="253">
        <f>C8*6</f>
        <v>860003000</v>
      </c>
      <c r="D13" s="249">
        <f t="shared" si="3"/>
        <v>-16296142.060000062</v>
      </c>
      <c r="E13" s="247">
        <f>4243444.31+6042005.67+E12</f>
        <v>55523716.5</v>
      </c>
      <c r="F13" s="253">
        <f>F8*6</f>
        <v>54663000</v>
      </c>
      <c r="G13" s="249">
        <f t="shared" si="0"/>
        <v>860716.5</v>
      </c>
      <c r="H13" s="247">
        <f t="shared" si="4"/>
        <v>25638047.549999997</v>
      </c>
      <c r="I13" s="253">
        <f>I8*6</f>
        <v>68873000</v>
      </c>
      <c r="J13" s="249">
        <f t="shared" si="1"/>
        <v>-43234952.450000003</v>
      </c>
      <c r="K13" s="252">
        <f>24157713.14+9837711.03+K12</f>
        <v>189856819.48000002</v>
      </c>
      <c r="L13" s="253">
        <f>L8*6</f>
        <v>148400500</v>
      </c>
      <c r="M13" s="249">
        <f t="shared" si="2"/>
        <v>41456319.480000019</v>
      </c>
    </row>
    <row r="14" spans="1:14" ht="15.95" customHeight="1" x14ac:dyDescent="0.2">
      <c r="A14" s="246" t="s">
        <v>13</v>
      </c>
      <c r="B14" s="252">
        <f>68425990.6+95613316.18+B13</f>
        <v>1007746164.7199999</v>
      </c>
      <c r="C14" s="253">
        <f>C8*7</f>
        <v>1003336833.3333334</v>
      </c>
      <c r="D14" s="249">
        <f t="shared" si="3"/>
        <v>4409331.3866665363</v>
      </c>
      <c r="E14" s="247">
        <f>4515004.33+6308926.46+E13</f>
        <v>66347647.289999999</v>
      </c>
      <c r="F14" s="253">
        <f>F8*7</f>
        <v>63773500</v>
      </c>
      <c r="G14" s="249">
        <f t="shared" si="0"/>
        <v>2574147.2899999991</v>
      </c>
      <c r="H14" s="247">
        <f>18570881.08+20774323.73+H13</f>
        <v>64983252.359999999</v>
      </c>
      <c r="I14" s="253">
        <f>I8*7</f>
        <v>80351833.333333343</v>
      </c>
      <c r="J14" s="249">
        <f t="shared" si="1"/>
        <v>-15368580.973333344</v>
      </c>
      <c r="K14" s="252">
        <f>39584204.47+17067092.02+K13</f>
        <v>246508115.97000003</v>
      </c>
      <c r="L14" s="253">
        <f>L8*7</f>
        <v>173133916.66666669</v>
      </c>
      <c r="M14" s="249">
        <f t="shared" si="2"/>
        <v>73374199.303333342</v>
      </c>
    </row>
    <row r="15" spans="1:14" ht="15.95" customHeight="1" x14ac:dyDescent="0.2">
      <c r="A15" s="246" t="s">
        <v>14</v>
      </c>
      <c r="B15" s="252">
        <f>62612306.17+100115495.78+B14</f>
        <v>1170473966.6699998</v>
      </c>
      <c r="C15" s="253">
        <f>C8*8</f>
        <v>1146670666.6666667</v>
      </c>
      <c r="D15" s="249">
        <f t="shared" si="3"/>
        <v>23803300.003333092</v>
      </c>
      <c r="E15" s="247">
        <f>4131395.6+6605997.18+E14</f>
        <v>77085040.069999993</v>
      </c>
      <c r="F15" s="253">
        <f>F8*8</f>
        <v>72884000</v>
      </c>
      <c r="G15" s="249">
        <f t="shared" si="0"/>
        <v>4201040.0699999928</v>
      </c>
      <c r="H15" s="247">
        <f t="shared" si="4"/>
        <v>64983252.359999999</v>
      </c>
      <c r="I15" s="253">
        <f>I8*8</f>
        <v>91830666.666666672</v>
      </c>
      <c r="J15" s="249">
        <f t="shared" si="1"/>
        <v>-26847414.306666672</v>
      </c>
      <c r="K15" s="252">
        <f>27553494.55+11418222.87+K14</f>
        <v>285479833.39000005</v>
      </c>
      <c r="L15" s="253">
        <f>L8*8</f>
        <v>197867333.33333334</v>
      </c>
      <c r="M15" s="249">
        <f t="shared" si="2"/>
        <v>87612500.056666702</v>
      </c>
    </row>
    <row r="16" spans="1:14" ht="15.95" customHeight="1" x14ac:dyDescent="0.2">
      <c r="A16" s="246" t="s">
        <v>15</v>
      </c>
      <c r="B16" s="252">
        <f>59316371.8+75385866.72+B15</f>
        <v>1305176205.1899998</v>
      </c>
      <c r="C16" s="253">
        <f>C8*9</f>
        <v>1290004500</v>
      </c>
      <c r="D16" s="249">
        <f t="shared" si="3"/>
        <v>15171705.189999819</v>
      </c>
      <c r="E16" s="247">
        <f>3913917.43+5356181.08+E15</f>
        <v>86355138.579999998</v>
      </c>
      <c r="F16" s="253">
        <f>F8*9</f>
        <v>81994500</v>
      </c>
      <c r="G16" s="249">
        <f t="shared" si="0"/>
        <v>4360638.5799999982</v>
      </c>
      <c r="H16" s="247">
        <f>420574.19+15868506.98+H15</f>
        <v>81272333.530000001</v>
      </c>
      <c r="I16" s="253">
        <f>I8*9</f>
        <v>103309500</v>
      </c>
      <c r="J16" s="249">
        <f t="shared" si="1"/>
        <v>-22037166.469999999</v>
      </c>
      <c r="K16" s="252">
        <f>22998883.53+18806250.22+K15</f>
        <v>327284967.14000005</v>
      </c>
      <c r="L16" s="253">
        <f>L8*9</f>
        <v>222600750</v>
      </c>
      <c r="M16" s="249">
        <f t="shared" si="2"/>
        <v>104684217.14000005</v>
      </c>
    </row>
    <row r="17" spans="1:13" ht="15.95" customHeight="1" x14ac:dyDescent="0.2">
      <c r="A17" s="246" t="s">
        <v>16</v>
      </c>
      <c r="B17" s="252">
        <f>64743356.57+89897990.11+B16</f>
        <v>1459817551.8699999</v>
      </c>
      <c r="C17" s="253">
        <f>C8*10</f>
        <v>1433338333.3333335</v>
      </c>
      <c r="D17" s="249">
        <f t="shared" si="3"/>
        <v>26479218.536666393</v>
      </c>
      <c r="E17" s="247">
        <f>4291912.07+5959441.83+E16</f>
        <v>96606492.480000004</v>
      </c>
      <c r="F17" s="253">
        <f>F8*10</f>
        <v>91105000</v>
      </c>
      <c r="G17" s="249">
        <f t="shared" si="0"/>
        <v>5501492.4800000042</v>
      </c>
      <c r="H17" s="247">
        <f>10452557.91+2256823.88+H16</f>
        <v>93981715.319999993</v>
      </c>
      <c r="I17" s="253">
        <f>I8*10</f>
        <v>114788333.33333334</v>
      </c>
      <c r="J17" s="249">
        <f t="shared" si="1"/>
        <v>-20806618.01333335</v>
      </c>
      <c r="K17" s="252">
        <f>24100298.84+9576787.55+K16</f>
        <v>360962053.53000003</v>
      </c>
      <c r="L17" s="253">
        <f>L8*10</f>
        <v>247334166.66666669</v>
      </c>
      <c r="M17" s="249">
        <f t="shared" si="2"/>
        <v>113627886.86333334</v>
      </c>
    </row>
    <row r="18" spans="1:13" ht="15.95" customHeight="1" x14ac:dyDescent="0.2">
      <c r="A18" s="246" t="s">
        <v>17</v>
      </c>
      <c r="B18" s="252">
        <f>59510463.2+99217882.1+B17</f>
        <v>1618545897.1699998</v>
      </c>
      <c r="C18" s="253">
        <f>C8*11</f>
        <v>1576672166.6666667</v>
      </c>
      <c r="D18" s="249">
        <f t="shared" si="3"/>
        <v>41873730.503333092</v>
      </c>
      <c r="E18" s="247">
        <f>3945017.47+6577268.24+E17</f>
        <v>107128778.19</v>
      </c>
      <c r="F18" s="253">
        <f>F8*11</f>
        <v>100215500</v>
      </c>
      <c r="G18" s="249">
        <f t="shared" si="0"/>
        <v>6913278.1899999976</v>
      </c>
      <c r="H18" s="247">
        <f>4726326.42+2908214.77+H17</f>
        <v>101616256.50999999</v>
      </c>
      <c r="I18" s="253">
        <f>I8*11</f>
        <v>126267166.66666667</v>
      </c>
      <c r="J18" s="249">
        <f t="shared" si="1"/>
        <v>-24650910.156666681</v>
      </c>
      <c r="K18" s="252">
        <f>21935818.45+8692939.09+K17</f>
        <v>391590811.07000005</v>
      </c>
      <c r="L18" s="253">
        <f>L8*11</f>
        <v>272067583.33333337</v>
      </c>
      <c r="M18" s="249">
        <f t="shared" si="2"/>
        <v>119523227.73666668</v>
      </c>
    </row>
    <row r="19" spans="1:13" ht="15.95" customHeight="1" thickBot="1" x14ac:dyDescent="0.25">
      <c r="A19" s="339" t="s">
        <v>18</v>
      </c>
      <c r="B19" s="252">
        <f>57664027.02+129482871.12+B18</f>
        <v>1805692795.3099999</v>
      </c>
      <c r="C19" s="332">
        <f>C8*12</f>
        <v>1720006000</v>
      </c>
      <c r="D19" s="249">
        <f t="shared" si="3"/>
        <v>85686795.309999943</v>
      </c>
      <c r="E19" s="247">
        <f>3822615.09+8583569.41+E18</f>
        <v>119534962.69</v>
      </c>
      <c r="F19" s="332">
        <f>F8*12</f>
        <v>109326000</v>
      </c>
      <c r="G19" s="249">
        <f t="shared" si="0"/>
        <v>10208962.689999998</v>
      </c>
      <c r="H19" s="247">
        <f>2326417.78+32407184.69+H18</f>
        <v>136349858.97999999</v>
      </c>
      <c r="I19" s="332">
        <f>I8*12</f>
        <v>137746000</v>
      </c>
      <c r="J19" s="249">
        <f t="shared" si="1"/>
        <v>-1396141.0200000107</v>
      </c>
      <c r="K19" s="252">
        <f>19462586.67+12922832.14+K18</f>
        <v>423976229.88000005</v>
      </c>
      <c r="L19" s="332">
        <f>L8*12</f>
        <v>296801000</v>
      </c>
      <c r="M19" s="249">
        <f t="shared" si="2"/>
        <v>127175229.88000005</v>
      </c>
    </row>
    <row r="20" spans="1:13" ht="15.95" customHeight="1" thickBot="1" x14ac:dyDescent="0.25">
      <c r="A20" s="257" t="s">
        <v>19</v>
      </c>
      <c r="B20" s="345">
        <f>B19</f>
        <v>1805692795.3099999</v>
      </c>
      <c r="C20" s="258">
        <v>1720006000</v>
      </c>
      <c r="D20" s="259"/>
      <c r="E20" s="345">
        <f>E19</f>
        <v>119534962.69</v>
      </c>
      <c r="F20" s="258">
        <v>109326000</v>
      </c>
      <c r="G20" s="260"/>
      <c r="H20" s="345">
        <f>H19</f>
        <v>136349858.97999999</v>
      </c>
      <c r="I20" s="258">
        <v>137746000</v>
      </c>
      <c r="J20" s="260"/>
      <c r="K20" s="345">
        <f>K19</f>
        <v>423976229.88000005</v>
      </c>
      <c r="L20" s="258">
        <v>296801000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67" t="s">
        <v>2</v>
      </c>
      <c r="B24" s="688" t="s">
        <v>188</v>
      </c>
      <c r="C24" s="689"/>
      <c r="D24" s="690"/>
      <c r="E24" s="694" t="s">
        <v>189</v>
      </c>
      <c r="F24" s="689"/>
      <c r="G24" s="690"/>
      <c r="H24" s="695" t="s">
        <v>22</v>
      </c>
      <c r="I24" s="689"/>
      <c r="J24" s="690"/>
      <c r="K24" s="370"/>
    </row>
    <row r="25" spans="1:13" ht="14.45" customHeight="1" thickBot="1" x14ac:dyDescent="0.25">
      <c r="A25" s="645"/>
      <c r="B25" s="691"/>
      <c r="C25" s="692"/>
      <c r="D25" s="693"/>
      <c r="E25" s="691"/>
      <c r="F25" s="692"/>
      <c r="G25" s="693"/>
      <c r="H25" s="691"/>
      <c r="I25" s="692"/>
      <c r="J25" s="693"/>
      <c r="K25" s="370"/>
    </row>
    <row r="26" spans="1:13" ht="14.45" customHeight="1" x14ac:dyDescent="0.2">
      <c r="A26" s="645"/>
      <c r="B26" s="563" t="s">
        <v>24</v>
      </c>
      <c r="C26" s="557" t="s">
        <v>31</v>
      </c>
      <c r="D26" s="559" t="s">
        <v>32</v>
      </c>
      <c r="E26" s="563" t="s">
        <v>25</v>
      </c>
      <c r="F26" s="557" t="s">
        <v>31</v>
      </c>
      <c r="G26" s="559" t="s">
        <v>32</v>
      </c>
      <c r="H26" s="566" t="s">
        <v>19</v>
      </c>
      <c r="I26" s="557" t="s">
        <v>31</v>
      </c>
      <c r="J26" s="559" t="s">
        <v>32</v>
      </c>
      <c r="K26" s="553" t="s">
        <v>148</v>
      </c>
    </row>
    <row r="27" spans="1:13" ht="14.45" customHeight="1" thickBot="1" x14ac:dyDescent="0.25">
      <c r="A27" s="646"/>
      <c r="B27" s="655"/>
      <c r="C27" s="635"/>
      <c r="D27" s="634"/>
      <c r="E27" s="655"/>
      <c r="F27" s="654"/>
      <c r="G27" s="634"/>
      <c r="H27" s="636"/>
      <c r="I27" s="635"/>
      <c r="J27" s="634"/>
      <c r="K27" s="653"/>
    </row>
    <row r="28" spans="1:13" ht="15.95" customHeight="1" x14ac:dyDescent="0.2">
      <c r="A28" s="261" t="s">
        <v>7</v>
      </c>
      <c r="B28" s="262">
        <f>41770675.95+6633434.22</f>
        <v>48404110.170000002</v>
      </c>
      <c r="C28" s="248">
        <f>C40/12</f>
        <v>222557000</v>
      </c>
      <c r="D28" s="251">
        <f>B28-C28</f>
        <v>-174152889.82999998</v>
      </c>
      <c r="E28" s="263">
        <f>430420100.05+31191610.51</f>
        <v>461611710.56</v>
      </c>
      <c r="F28" s="264">
        <f>F40/12</f>
        <v>448468833.33333331</v>
      </c>
      <c r="G28" s="265">
        <f>E28-F28</f>
        <v>13142877.226666689</v>
      </c>
      <c r="H28" s="266">
        <f t="shared" ref="H28:H40" si="5">$B8+$E8+$H8+$K8+$B28+$E28</f>
        <v>721774125.79999995</v>
      </c>
      <c r="I28" s="264">
        <f>I40/12</f>
        <v>859682416.66666663</v>
      </c>
      <c r="J28" s="267">
        <f>H28-I28</f>
        <v>-137908290.86666667</v>
      </c>
      <c r="K28" s="268">
        <f>J28/I40</f>
        <v>-1.3368143106593596E-2</v>
      </c>
    </row>
    <row r="29" spans="1:13" ht="15.95" customHeight="1" x14ac:dyDescent="0.2">
      <c r="A29" s="269" t="s">
        <v>8</v>
      </c>
      <c r="B29" s="270">
        <f>8708506.07+12125254.82+B28</f>
        <v>69237871.060000002</v>
      </c>
      <c r="C29" s="253">
        <f>C28*2</f>
        <v>445114000</v>
      </c>
      <c r="D29" s="249">
        <f t="shared" ref="D29:D39" si="6">B29-C29</f>
        <v>-375876128.94</v>
      </c>
      <c r="E29" s="271">
        <f>496346430.57+23512052.37+E28</f>
        <v>981470193.5</v>
      </c>
      <c r="F29" s="254">
        <f>F28*2</f>
        <v>896937666.66666663</v>
      </c>
      <c r="G29" s="249">
        <f t="shared" ref="G29:G39" si="7">E29-F29</f>
        <v>84532526.833333373</v>
      </c>
      <c r="H29" s="256">
        <f t="shared" si="5"/>
        <v>1460724358.5999999</v>
      </c>
      <c r="I29" s="254">
        <f>I28*2</f>
        <v>1719364833.3333333</v>
      </c>
      <c r="J29" s="249">
        <f t="shared" ref="J29:J39" si="8">H29-I29</f>
        <v>-258640474.73333335</v>
      </c>
      <c r="K29" s="272">
        <f>J29/I40</f>
        <v>-2.5071319916040054E-2</v>
      </c>
    </row>
    <row r="30" spans="1:13" ht="15.95" customHeight="1" x14ac:dyDescent="0.2">
      <c r="A30" s="269" t="s">
        <v>9</v>
      </c>
      <c r="B30" s="270">
        <f>14383104.57+459104031.42+B29</f>
        <v>542725007.04999995</v>
      </c>
      <c r="C30" s="254">
        <f>C28*3</f>
        <v>667671000</v>
      </c>
      <c r="D30" s="249">
        <f t="shared" si="6"/>
        <v>-124945992.95000005</v>
      </c>
      <c r="E30" s="271">
        <f>286804342.45+27540648.55+E29</f>
        <v>1295815184.5</v>
      </c>
      <c r="F30" s="254">
        <f>F28*3</f>
        <v>1345406500</v>
      </c>
      <c r="G30" s="249">
        <f t="shared" si="7"/>
        <v>-49591315.5</v>
      </c>
      <c r="H30" s="255">
        <f t="shared" si="5"/>
        <v>2423955677.5599999</v>
      </c>
      <c r="I30" s="254">
        <f>I28*3</f>
        <v>2579047250</v>
      </c>
      <c r="J30" s="249">
        <f t="shared" si="8"/>
        <v>-155091572.44000006</v>
      </c>
      <c r="K30" s="272">
        <f>J30/I40</f>
        <v>-1.5033804871159307E-2</v>
      </c>
    </row>
    <row r="31" spans="1:13" ht="15.95" customHeight="1" x14ac:dyDescent="0.2">
      <c r="A31" s="269" t="s">
        <v>10</v>
      </c>
      <c r="B31" s="270">
        <f>57120352.91+14835322.08+B30</f>
        <v>614680682.03999996</v>
      </c>
      <c r="C31" s="253">
        <f>C28*4</f>
        <v>890228000</v>
      </c>
      <c r="D31" s="249">
        <f t="shared" si="6"/>
        <v>-275547317.96000004</v>
      </c>
      <c r="E31" s="271">
        <f>322681875.6+28434574.24+E30</f>
        <v>1646931634.3400002</v>
      </c>
      <c r="F31" s="253">
        <f>F28*4</f>
        <v>1793875333.3333333</v>
      </c>
      <c r="G31" s="249">
        <f t="shared" si="7"/>
        <v>-146943698.9933331</v>
      </c>
      <c r="H31" s="255">
        <f t="shared" si="5"/>
        <v>2993348167.5599999</v>
      </c>
      <c r="I31" s="253">
        <f>I28*4</f>
        <v>3438729666.6666665</v>
      </c>
      <c r="J31" s="249">
        <f t="shared" si="8"/>
        <v>-445381499.10666656</v>
      </c>
      <c r="K31" s="272">
        <f>J31/I40</f>
        <v>-4.31730650831103E-2</v>
      </c>
    </row>
    <row r="32" spans="1:13" ht="15.95" customHeight="1" x14ac:dyDescent="0.2">
      <c r="A32" s="269" t="s">
        <v>11</v>
      </c>
      <c r="B32" s="270">
        <f>32216965.31+28944843.55+B31</f>
        <v>675842490.89999998</v>
      </c>
      <c r="C32" s="253">
        <f>C28*5</f>
        <v>1112785000</v>
      </c>
      <c r="D32" s="249">
        <f t="shared" si="6"/>
        <v>-436942509.10000002</v>
      </c>
      <c r="E32" s="271">
        <f>453334524.37+24101979.82+E31</f>
        <v>2124368138.5300002</v>
      </c>
      <c r="F32" s="253">
        <f>F28*5</f>
        <v>2242344166.6666665</v>
      </c>
      <c r="G32" s="249">
        <f t="shared" si="7"/>
        <v>-117976028.1366663</v>
      </c>
      <c r="H32" s="255">
        <f t="shared" si="5"/>
        <v>3714776698.52</v>
      </c>
      <c r="I32" s="253">
        <f>I28*5</f>
        <v>4298412083.333333</v>
      </c>
      <c r="J32" s="249">
        <f t="shared" si="8"/>
        <v>-583635384.81333303</v>
      </c>
      <c r="K32" s="272">
        <f>J32/I40</f>
        <v>-5.6574708432865377E-2</v>
      </c>
    </row>
    <row r="33" spans="1:13" ht="15.95" customHeight="1" x14ac:dyDescent="0.2">
      <c r="A33" s="269" t="s">
        <v>12</v>
      </c>
      <c r="B33" s="270">
        <f>12360156.14+357185683.52+B32</f>
        <v>1045388330.5599999</v>
      </c>
      <c r="C33" s="253">
        <f>C28*6</f>
        <v>1335342000</v>
      </c>
      <c r="D33" s="249">
        <f t="shared" si="6"/>
        <v>-289953669.44000006</v>
      </c>
      <c r="E33" s="271">
        <f>386809740.63+22489289.44+E32</f>
        <v>2533667168.6000004</v>
      </c>
      <c r="F33" s="253">
        <f>F28*6</f>
        <v>2690813000</v>
      </c>
      <c r="G33" s="249">
        <f t="shared" si="7"/>
        <v>-157145831.39999962</v>
      </c>
      <c r="H33" s="255">
        <f t="shared" si="5"/>
        <v>4693780940.6300001</v>
      </c>
      <c r="I33" s="253">
        <f>I28*6</f>
        <v>5158094500</v>
      </c>
      <c r="J33" s="249">
        <f t="shared" si="8"/>
        <v>-464313559.36999989</v>
      </c>
      <c r="K33" s="272">
        <f>J33/I40</f>
        <v>-4.5008244747163889E-2</v>
      </c>
    </row>
    <row r="34" spans="1:13" ht="15.95" customHeight="1" x14ac:dyDescent="0.2">
      <c r="A34" s="269" t="s">
        <v>13</v>
      </c>
      <c r="B34" s="270">
        <f>433569080.3+172688678.37+B33</f>
        <v>1651646089.23</v>
      </c>
      <c r="C34" s="253">
        <f>C28*7</f>
        <v>1557899000</v>
      </c>
      <c r="D34" s="249">
        <f t="shared" si="6"/>
        <v>93747089.230000019</v>
      </c>
      <c r="E34" s="271">
        <f>392162141.61+35089235.71+E33</f>
        <v>2960918545.9200006</v>
      </c>
      <c r="F34" s="253">
        <f>F28*7</f>
        <v>3139281833.333333</v>
      </c>
      <c r="G34" s="249">
        <f t="shared" si="7"/>
        <v>-178363287.41333246</v>
      </c>
      <c r="H34" s="255">
        <f t="shared" si="5"/>
        <v>5998149815.4899998</v>
      </c>
      <c r="I34" s="253">
        <f>I28*7</f>
        <v>6017776916.666666</v>
      </c>
      <c r="J34" s="249">
        <f t="shared" si="8"/>
        <v>-19627101.17666626</v>
      </c>
      <c r="K34" s="272">
        <f>J34/I40</f>
        <v>-1.9025534697615816E-3</v>
      </c>
    </row>
    <row r="35" spans="1:13" ht="15.95" customHeight="1" x14ac:dyDescent="0.2">
      <c r="A35" s="269" t="s">
        <v>14</v>
      </c>
      <c r="B35" s="270">
        <f t="shared" ref="B35" si="9">0+B34</f>
        <v>1651646089.23</v>
      </c>
      <c r="C35" s="253">
        <f>C28*8</f>
        <v>1780456000</v>
      </c>
      <c r="D35" s="249">
        <f t="shared" si="6"/>
        <v>-128809910.76999998</v>
      </c>
      <c r="E35" s="271">
        <f>471088453.55+27714961.65+E34</f>
        <v>3459721961.1200004</v>
      </c>
      <c r="F35" s="253">
        <f>F28*8</f>
        <v>3587750666.6666665</v>
      </c>
      <c r="G35" s="249">
        <f t="shared" si="7"/>
        <v>-128028705.54666615</v>
      </c>
      <c r="H35" s="255">
        <f t="shared" si="5"/>
        <v>6709390142.8400002</v>
      </c>
      <c r="I35" s="253">
        <f>I28*8</f>
        <v>6877459333.333333</v>
      </c>
      <c r="J35" s="249">
        <f t="shared" si="8"/>
        <v>-168069190.49333286</v>
      </c>
      <c r="K35" s="272">
        <f>J35/I40</f>
        <v>-1.6291790553016511E-2</v>
      </c>
    </row>
    <row r="36" spans="1:13" ht="15.95" customHeight="1" x14ac:dyDescent="0.2">
      <c r="A36" s="269" t="s">
        <v>15</v>
      </c>
      <c r="B36" s="270">
        <f>230914580.38+B35</f>
        <v>1882560669.6100001</v>
      </c>
      <c r="C36" s="253">
        <f>C28*9</f>
        <v>2003013000</v>
      </c>
      <c r="D36" s="249">
        <f t="shared" si="6"/>
        <v>-120452330.38999987</v>
      </c>
      <c r="E36" s="271">
        <f>361077242.57+2568582.34+E35</f>
        <v>3823367786.0300002</v>
      </c>
      <c r="F36" s="253">
        <f>F28*9</f>
        <v>4036219500</v>
      </c>
      <c r="G36" s="249">
        <f t="shared" si="7"/>
        <v>-212851713.96999979</v>
      </c>
      <c r="H36" s="255">
        <f t="shared" si="5"/>
        <v>7506017100.0799999</v>
      </c>
      <c r="I36" s="253">
        <f>I28*9</f>
        <v>7737141750</v>
      </c>
      <c r="J36" s="249">
        <f t="shared" si="8"/>
        <v>-231124649.92000008</v>
      </c>
      <c r="K36" s="272">
        <f>J36/I40</f>
        <v>-2.2404072852872322E-2</v>
      </c>
    </row>
    <row r="37" spans="1:13" ht="15.95" customHeight="1" x14ac:dyDescent="0.2">
      <c r="A37" s="269" t="s">
        <v>16</v>
      </c>
      <c r="B37" s="270">
        <f>213200536.81+20723652.68+B36</f>
        <v>2116484859.1000001</v>
      </c>
      <c r="C37" s="253">
        <f>C28*10</f>
        <v>2225570000</v>
      </c>
      <c r="D37" s="249">
        <f t="shared" si="6"/>
        <v>-109085140.89999986</v>
      </c>
      <c r="E37" s="271">
        <f>369902465.45+32622445.2+E36</f>
        <v>4225892696.6800003</v>
      </c>
      <c r="F37" s="253">
        <f>F28*10</f>
        <v>4484688333.333333</v>
      </c>
      <c r="G37" s="249">
        <f>E37-F37</f>
        <v>-258795636.65333271</v>
      </c>
      <c r="H37" s="255">
        <f t="shared" si="5"/>
        <v>8353745368.9800005</v>
      </c>
      <c r="I37" s="253">
        <f>I28*10</f>
        <v>8596824166.666666</v>
      </c>
      <c r="J37" s="249">
        <f t="shared" si="8"/>
        <v>-243078797.68666553</v>
      </c>
      <c r="K37" s="272">
        <f>J37/I40</f>
        <v>-2.3562848420736141E-2</v>
      </c>
    </row>
    <row r="38" spans="1:13" ht="15.95" customHeight="1" x14ac:dyDescent="0.2">
      <c r="A38" s="269" t="s">
        <v>17</v>
      </c>
      <c r="B38" s="270">
        <f>5897230.36+21228564.17+B37</f>
        <v>2143610653.6300001</v>
      </c>
      <c r="C38" s="253">
        <f>C28*11</f>
        <v>2448127000</v>
      </c>
      <c r="D38" s="249">
        <f t="shared" si="6"/>
        <v>-304516346.36999989</v>
      </c>
      <c r="E38" s="271">
        <f>513474392.22+43002532.31+E37</f>
        <v>4782369621.21</v>
      </c>
      <c r="F38" s="253">
        <f>F28*11</f>
        <v>4933157166.666666</v>
      </c>
      <c r="G38" s="249">
        <f t="shared" si="7"/>
        <v>-150787545.45666599</v>
      </c>
      <c r="H38" s="255">
        <f t="shared" si="5"/>
        <v>9144862017.7799988</v>
      </c>
      <c r="I38" s="253">
        <f>I28*11</f>
        <v>9456506583.3333321</v>
      </c>
      <c r="J38" s="249">
        <f t="shared" si="8"/>
        <v>-311644565.55333328</v>
      </c>
      <c r="K38" s="272">
        <f>J38/I40</f>
        <v>-3.0209272586352701E-2</v>
      </c>
    </row>
    <row r="39" spans="1:13" ht="15.95" customHeight="1" thickBot="1" x14ac:dyDescent="0.25">
      <c r="A39" s="340" t="s">
        <v>18</v>
      </c>
      <c r="B39" s="270">
        <f>8189990.92+474323570.99+B38</f>
        <v>2626124215.54</v>
      </c>
      <c r="C39" s="338">
        <f>C28*12</f>
        <v>2670684000</v>
      </c>
      <c r="D39" s="464">
        <f t="shared" si="6"/>
        <v>-44559784.460000038</v>
      </c>
      <c r="E39" s="271">
        <f>439580250.26+49566213.83+E38</f>
        <v>5271516085.3000002</v>
      </c>
      <c r="F39" s="338">
        <f>F28*12</f>
        <v>5381626000</v>
      </c>
      <c r="G39" s="411">
        <f t="shared" si="7"/>
        <v>-110109914.69999981</v>
      </c>
      <c r="H39" s="275">
        <f t="shared" si="5"/>
        <v>10383194147.700001</v>
      </c>
      <c r="I39" s="338">
        <f>I28*12</f>
        <v>10316189000</v>
      </c>
      <c r="J39" s="411">
        <f t="shared" si="8"/>
        <v>67005147.700000763</v>
      </c>
      <c r="K39" s="466">
        <f>J39/I40</f>
        <v>6.4951454165875369E-3</v>
      </c>
    </row>
    <row r="40" spans="1:13" ht="15.95" customHeight="1" thickBot="1" x14ac:dyDescent="0.25">
      <c r="A40" s="257" t="s">
        <v>19</v>
      </c>
      <c r="B40" s="345">
        <f>B39</f>
        <v>2626124215.54</v>
      </c>
      <c r="C40" s="258">
        <v>2670684000</v>
      </c>
      <c r="D40" s="278"/>
      <c r="E40" s="345">
        <f>E39</f>
        <v>5271516085.3000002</v>
      </c>
      <c r="F40" s="258">
        <v>5381626000</v>
      </c>
      <c r="G40" s="278"/>
      <c r="H40" s="351">
        <f t="shared" si="5"/>
        <v>10383194147.700001</v>
      </c>
      <c r="I40" s="279">
        <f>C20+F20+I20+L20+C40+F40</f>
        <v>10316189000</v>
      </c>
      <c r="J40" s="280"/>
      <c r="K40" s="350"/>
    </row>
    <row r="41" spans="1:13" x14ac:dyDescent="0.2">
      <c r="A41" s="659"/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42:M42"/>
    <mergeCell ref="E26:E27"/>
    <mergeCell ref="F26:F27"/>
    <mergeCell ref="G26:G27"/>
    <mergeCell ref="H26:H27"/>
    <mergeCell ref="I26:I27"/>
    <mergeCell ref="J26:J2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9231D-E219-4A5A-878D-3934AA45F745}">
  <sheetPr>
    <tabColor rgb="FF000000"/>
  </sheetPr>
  <dimension ref="A1:S76"/>
  <sheetViews>
    <sheetView showGridLines="0" view="pageBreakPreview" zoomScale="160" zoomScaleNormal="160" zoomScaleSheetLayoutView="160" workbookViewId="0">
      <selection activeCell="I20" sqref="I2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6" width="9.140625" style="1"/>
    <col min="17" max="17" width="13.140625" style="1" customWidth="1"/>
    <col min="18" max="19" width="9.140625" style="1"/>
    <col min="20" max="20" width="3.7109375" style="1" customWidth="1"/>
    <col min="21" max="16384" width="9.140625" style="1"/>
  </cols>
  <sheetData>
    <row r="1" spans="1:19" ht="28.5" x14ac:dyDescent="0.45">
      <c r="A1" s="656" t="s">
        <v>193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451"/>
      <c r="Q1" s="451"/>
      <c r="R1" s="452"/>
      <c r="S1" s="452"/>
    </row>
    <row r="2" spans="1:19" ht="20.25" x14ac:dyDescent="0.3">
      <c r="A2" s="587" t="s">
        <v>204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37" spans="1:19" x14ac:dyDescent="0.2">
      <c r="I37" s="471" t="s">
        <v>35</v>
      </c>
    </row>
    <row r="38" spans="1:19" ht="28.5" x14ac:dyDescent="0.45">
      <c r="A38" s="656" t="s">
        <v>194</v>
      </c>
      <c r="B38" s="592"/>
      <c r="C38" s="592"/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452"/>
      <c r="Q38" s="452"/>
      <c r="R38" s="452"/>
      <c r="S38" s="452"/>
    </row>
    <row r="39" spans="1:19" ht="20.25" x14ac:dyDescent="0.3">
      <c r="A39" s="587" t="s">
        <v>204</v>
      </c>
      <c r="B39" s="592"/>
      <c r="C39" s="592"/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/>
      <c r="Q39"/>
      <c r="R39"/>
      <c r="S39"/>
    </row>
    <row r="40" spans="1:19" ht="12.75" customHeight="1" x14ac:dyDescent="0.2"/>
    <row r="61" spans="11:19" x14ac:dyDescent="0.2">
      <c r="K61" s="469"/>
      <c r="L61" s="470"/>
      <c r="M61" s="470"/>
      <c r="N61" s="470"/>
      <c r="O61" s="470"/>
      <c r="P61" s="470"/>
      <c r="Q61" s="470"/>
      <c r="R61" s="470"/>
      <c r="S61" s="470"/>
    </row>
    <row r="76" spans="1:11" x14ac:dyDescent="0.2">
      <c r="A76" s="684"/>
      <c r="B76" s="684"/>
      <c r="C76" s="684"/>
      <c r="D76" s="684"/>
      <c r="E76" s="684"/>
      <c r="F76" s="684"/>
      <c r="G76" s="684"/>
      <c r="H76" s="684"/>
      <c r="I76" s="684"/>
      <c r="J76" s="684"/>
      <c r="K76" s="684"/>
    </row>
  </sheetData>
  <mergeCells count="5">
    <mergeCell ref="A1:O1"/>
    <mergeCell ref="A2:O2"/>
    <mergeCell ref="A38:O38"/>
    <mergeCell ref="A39:O39"/>
    <mergeCell ref="A76:K76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991AD-C688-4032-A991-3259AAAC5B41}">
  <sheetPr>
    <tabColor rgb="FF000000"/>
    <pageSetUpPr fitToPage="1"/>
  </sheetPr>
  <dimension ref="A1:S43"/>
  <sheetViews>
    <sheetView showGridLines="0" zoomScale="130" zoomScaleNormal="130" zoomScaleSheetLayoutView="130" workbookViewId="0">
      <pane xSplit="1" topLeftCell="B1" activePane="topRight" state="frozen"/>
      <selection sqref="A1:M1"/>
      <selection pane="topRight" activeCell="M34" sqref="M34"/>
    </sheetView>
  </sheetViews>
  <sheetFormatPr defaultColWidth="9.140625" defaultRowHeight="12.75" x14ac:dyDescent="0.2"/>
  <cols>
    <col min="1" max="1" width="7.7109375" style="66" customWidth="1"/>
    <col min="2" max="4" width="11.85546875" style="66" customWidth="1"/>
    <col min="5" max="5" width="12.7109375" style="212" customWidth="1"/>
    <col min="6" max="8" width="11.85546875" style="66" customWidth="1"/>
    <col min="9" max="9" width="12.7109375" style="212" customWidth="1"/>
    <col min="10" max="12" width="11.85546875" style="66" customWidth="1"/>
    <col min="13" max="13" width="13.28515625" style="212" customWidth="1"/>
    <col min="14" max="16" width="11.85546875" style="66" customWidth="1"/>
    <col min="17" max="17" width="12.7109375" style="212" customWidth="1"/>
    <col min="18" max="18" width="9.7109375" style="66" customWidth="1"/>
    <col min="19" max="19" width="12.42578125" style="66" customWidth="1"/>
    <col min="20" max="21" width="9.7109375" style="66" customWidth="1"/>
    <col min="22" max="22" width="11" style="66" customWidth="1"/>
    <col min="23" max="16384" width="9.140625" style="66"/>
  </cols>
  <sheetData>
    <row r="1" spans="1:19" ht="20.25" x14ac:dyDescent="0.3">
      <c r="A1" s="585" t="s">
        <v>203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</row>
    <row r="2" spans="1:19" ht="20.25" x14ac:dyDescent="0.3">
      <c r="A2" s="587" t="s">
        <v>65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</row>
    <row r="3" spans="1:19" ht="15.95" customHeight="1" x14ac:dyDescent="0.3">
      <c r="A3" s="462"/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</row>
    <row r="4" spans="1:19" ht="15.95" customHeight="1" x14ac:dyDescent="0.2">
      <c r="A4" s="666" t="s">
        <v>205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</row>
    <row r="5" spans="1:19" ht="13.5" customHeight="1" thickBot="1" x14ac:dyDescent="0.25">
      <c r="B5" s="67"/>
      <c r="C5" s="68"/>
      <c r="D5" s="68"/>
      <c r="E5" s="203"/>
      <c r="F5" s="69"/>
      <c r="G5" s="69"/>
      <c r="H5" s="71"/>
      <c r="I5" s="204"/>
      <c r="J5" s="70"/>
      <c r="K5" s="70"/>
      <c r="L5" s="71"/>
      <c r="M5" s="204"/>
      <c r="N5" s="71"/>
      <c r="O5" s="71"/>
      <c r="P5" s="72"/>
      <c r="Q5" s="381" t="s">
        <v>26</v>
      </c>
    </row>
    <row r="6" spans="1:19" ht="14.45" customHeight="1" x14ac:dyDescent="0.2">
      <c r="A6" s="660" t="s">
        <v>2</v>
      </c>
      <c r="B6" s="712" t="s">
        <v>196</v>
      </c>
      <c r="C6" s="713"/>
      <c r="D6" s="713"/>
      <c r="E6" s="714"/>
      <c r="F6" s="715" t="s">
        <v>167</v>
      </c>
      <c r="G6" s="716"/>
      <c r="H6" s="716"/>
      <c r="I6" s="717"/>
      <c r="J6" s="703" t="s">
        <v>197</v>
      </c>
      <c r="K6" s="696"/>
      <c r="L6" s="696"/>
      <c r="M6" s="697"/>
      <c r="N6" s="718" t="s">
        <v>198</v>
      </c>
      <c r="O6" s="696"/>
      <c r="P6" s="696"/>
      <c r="Q6" s="697"/>
    </row>
    <row r="7" spans="1:19" ht="14.45" customHeight="1" thickBot="1" x14ac:dyDescent="0.25">
      <c r="A7" s="661"/>
      <c r="B7" s="699"/>
      <c r="C7" s="699"/>
      <c r="D7" s="699"/>
      <c r="E7" s="700"/>
      <c r="F7" s="698"/>
      <c r="G7" s="699"/>
      <c r="H7" s="699"/>
      <c r="I7" s="700"/>
      <c r="J7" s="698"/>
      <c r="K7" s="699"/>
      <c r="L7" s="699"/>
      <c r="M7" s="700"/>
      <c r="N7" s="698"/>
      <c r="O7" s="699"/>
      <c r="P7" s="699"/>
      <c r="Q7" s="700"/>
    </row>
    <row r="8" spans="1:19" ht="13.5" customHeight="1" x14ac:dyDescent="0.2">
      <c r="A8" s="661"/>
      <c r="B8" s="473"/>
      <c r="C8" s="473"/>
      <c r="D8" s="474"/>
      <c r="E8" s="721" t="s">
        <v>195</v>
      </c>
      <c r="F8" s="473"/>
      <c r="G8" s="473"/>
      <c r="H8" s="474"/>
      <c r="I8" s="721" t="s">
        <v>195</v>
      </c>
      <c r="J8" s="473"/>
      <c r="K8" s="473"/>
      <c r="L8" s="474"/>
      <c r="M8" s="721" t="s">
        <v>195</v>
      </c>
      <c r="N8" s="473"/>
      <c r="O8" s="473"/>
      <c r="P8" s="474"/>
      <c r="Q8" s="721" t="s">
        <v>195</v>
      </c>
    </row>
    <row r="9" spans="1:19" ht="13.5" customHeight="1" thickBot="1" x14ac:dyDescent="0.25">
      <c r="A9" s="662"/>
      <c r="B9" s="475" t="s">
        <v>142</v>
      </c>
      <c r="C9" s="475" t="s">
        <v>152</v>
      </c>
      <c r="D9" s="476" t="s">
        <v>179</v>
      </c>
      <c r="E9" s="722"/>
      <c r="F9" s="475" t="s">
        <v>142</v>
      </c>
      <c r="G9" s="475" t="s">
        <v>152</v>
      </c>
      <c r="H9" s="476" t="s">
        <v>179</v>
      </c>
      <c r="I9" s="722"/>
      <c r="J9" s="475" t="s">
        <v>142</v>
      </c>
      <c r="K9" s="475" t="s">
        <v>152</v>
      </c>
      <c r="L9" s="476" t="s">
        <v>179</v>
      </c>
      <c r="M9" s="722"/>
      <c r="N9" s="475" t="s">
        <v>142</v>
      </c>
      <c r="O9" s="475" t="s">
        <v>152</v>
      </c>
      <c r="P9" s="476" t="s">
        <v>179</v>
      </c>
      <c r="Q9" s="722"/>
    </row>
    <row r="10" spans="1:19" ht="17.100000000000001" customHeight="1" x14ac:dyDescent="0.2">
      <c r="A10" s="386" t="s">
        <v>7</v>
      </c>
      <c r="B10" s="477">
        <v>199772286.56</v>
      </c>
      <c r="C10" s="477">
        <v>140979932.11000001</v>
      </c>
      <c r="D10" s="477">
        <v>149006822.40000001</v>
      </c>
      <c r="E10" s="478">
        <f>62673677.42+96674518.91</f>
        <v>159348196.32999998</v>
      </c>
      <c r="F10" s="479">
        <v>12899930.41</v>
      </c>
      <c r="G10" s="479">
        <v>8746900.7100000009</v>
      </c>
      <c r="H10" s="477">
        <v>9177828.5700000003</v>
      </c>
      <c r="I10" s="478">
        <f>3988207.89+6378948.61</f>
        <v>10367156.5</v>
      </c>
      <c r="J10" s="477">
        <v>4166693.01</v>
      </c>
      <c r="K10" s="477">
        <v>7376859.04</v>
      </c>
      <c r="L10" s="477">
        <v>8099954.6499999994</v>
      </c>
      <c r="M10" s="478">
        <f>5979889.25+1797726.66</f>
        <v>7777615.9100000001</v>
      </c>
      <c r="N10" s="477">
        <v>17357372.329999998</v>
      </c>
      <c r="O10" s="477">
        <v>20064782.27</v>
      </c>
      <c r="P10" s="477">
        <v>31706626</v>
      </c>
      <c r="Q10" s="478">
        <f>25980579.63+8284756.7</f>
        <v>34265336.329999998</v>
      </c>
      <c r="S10" s="212"/>
    </row>
    <row r="11" spans="1:19" ht="17.100000000000001" customHeight="1" x14ac:dyDescent="0.2">
      <c r="A11" s="390" t="s">
        <v>8</v>
      </c>
      <c r="B11" s="480">
        <v>120056607.46000001</v>
      </c>
      <c r="C11" s="480">
        <v>105073495.16</v>
      </c>
      <c r="D11" s="480">
        <v>142668775.87</v>
      </c>
      <c r="E11" s="481">
        <f>64719395.18+82943760.03</f>
        <v>147663155.21000001</v>
      </c>
      <c r="F11" s="480">
        <v>7505830.4900000002</v>
      </c>
      <c r="G11" s="480">
        <v>6519136.5500000007</v>
      </c>
      <c r="H11" s="480">
        <v>8787447.0399999991</v>
      </c>
      <c r="I11" s="481">
        <f>4270429.24+5472941.45</f>
        <v>9743370.6900000013</v>
      </c>
      <c r="J11" s="480">
        <v>4109856.08</v>
      </c>
      <c r="K11" s="480">
        <v>3585999.83</v>
      </c>
      <c r="L11" s="480">
        <v>5265718.1999999993</v>
      </c>
      <c r="M11" s="481">
        <f>2771428.53+3190224.84</f>
        <v>5961653.3699999992</v>
      </c>
      <c r="N11" s="480">
        <v>18777302.259999998</v>
      </c>
      <c r="O11" s="480">
        <v>23639919.380000003</v>
      </c>
      <c r="P11" s="480">
        <v>32712074.349999998</v>
      </c>
      <c r="Q11" s="481">
        <f>26991769.39+7898040.31</f>
        <v>34889809.700000003</v>
      </c>
    </row>
    <row r="12" spans="1:19" ht="17.100000000000001" customHeight="1" x14ac:dyDescent="0.2">
      <c r="A12" s="390" t="s">
        <v>9</v>
      </c>
      <c r="B12" s="480">
        <v>81467731.420000002</v>
      </c>
      <c r="C12" s="480">
        <v>78246838.700000003</v>
      </c>
      <c r="D12" s="480">
        <v>114427016.06</v>
      </c>
      <c r="E12" s="481">
        <f>53923085.33+71690761.3</f>
        <v>125613846.63</v>
      </c>
      <c r="F12" s="480">
        <v>5093288.88</v>
      </c>
      <c r="G12" s="480">
        <v>4854714.54</v>
      </c>
      <c r="H12" s="480">
        <v>7047942.5700000003</v>
      </c>
      <c r="I12" s="481">
        <f>3558048.11+4730426.2</f>
        <v>8288474.3100000005</v>
      </c>
      <c r="J12" s="480">
        <v>13080477.879999999</v>
      </c>
      <c r="K12" s="480">
        <v>13902009.93</v>
      </c>
      <c r="L12" s="480">
        <v>12602534.07</v>
      </c>
      <c r="M12" s="481">
        <f>5352849.54+6545928.73</f>
        <v>11898778.27</v>
      </c>
      <c r="N12" s="480">
        <v>13058543.49</v>
      </c>
      <c r="O12" s="480">
        <v>16175021.950000001</v>
      </c>
      <c r="P12" s="480">
        <v>25635325.850000001</v>
      </c>
      <c r="Q12" s="481">
        <f>21216309.43+8381783.33</f>
        <v>29598092.759999998</v>
      </c>
    </row>
    <row r="13" spans="1:19" ht="17.100000000000001" customHeight="1" x14ac:dyDescent="0.2">
      <c r="A13" s="390" t="s">
        <v>10</v>
      </c>
      <c r="B13" s="480">
        <v>24764866.880000003</v>
      </c>
      <c r="C13" s="480">
        <v>81268931.090000004</v>
      </c>
      <c r="D13" s="480">
        <v>99270690.580000013</v>
      </c>
      <c r="E13" s="481">
        <f>44725329.1+68288508.43</f>
        <v>113013837.53</v>
      </c>
      <c r="F13" s="480">
        <v>1548277.08</v>
      </c>
      <c r="G13" s="480">
        <v>5042215.99</v>
      </c>
      <c r="H13" s="480">
        <v>6114413.8600000003</v>
      </c>
      <c r="I13" s="481">
        <f>2951145.56+4505932.76</f>
        <v>7457078.3200000003</v>
      </c>
      <c r="J13" s="480">
        <v>0</v>
      </c>
      <c r="K13" s="480">
        <v>0</v>
      </c>
      <c r="L13" s="480">
        <v>0</v>
      </c>
      <c r="M13" s="481">
        <v>0</v>
      </c>
      <c r="N13" s="480">
        <v>15549369.440000001</v>
      </c>
      <c r="O13" s="480">
        <v>18910669.41</v>
      </c>
      <c r="P13" s="480">
        <v>27177984.280000001</v>
      </c>
      <c r="Q13" s="481">
        <f>15460811.28+10388638.04</f>
        <v>25849449.32</v>
      </c>
    </row>
    <row r="14" spans="1:19" ht="17.100000000000001" customHeight="1" x14ac:dyDescent="0.2">
      <c r="A14" s="390" t="s">
        <v>11</v>
      </c>
      <c r="B14" s="480">
        <v>58778892.370000005</v>
      </c>
      <c r="C14" s="480">
        <v>95091689.019999996</v>
      </c>
      <c r="D14" s="480">
        <v>125344857.15000001</v>
      </c>
      <c r="E14" s="481">
        <f>49699253.71+92490070.3</f>
        <v>142189324.00999999</v>
      </c>
      <c r="F14" s="480">
        <v>3674803.15</v>
      </c>
      <c r="G14" s="480">
        <v>5899829.4499999993</v>
      </c>
      <c r="H14" s="480">
        <v>7720408.9199999999</v>
      </c>
      <c r="I14" s="481">
        <f>3279343.79+6102842.91</f>
        <v>9382186.6999999993</v>
      </c>
      <c r="J14" s="480">
        <v>0</v>
      </c>
      <c r="K14" s="480">
        <v>0</v>
      </c>
      <c r="L14" s="480">
        <v>0</v>
      </c>
      <c r="M14" s="481">
        <v>0</v>
      </c>
      <c r="N14" s="480">
        <v>15704892.880000001</v>
      </c>
      <c r="O14" s="480">
        <v>21410489.079999998</v>
      </c>
      <c r="P14" s="480">
        <v>29394447.479999997</v>
      </c>
      <c r="Q14" s="481">
        <f>21987593.26+9271113.94</f>
        <v>31258707.200000003</v>
      </c>
    </row>
    <row r="15" spans="1:19" ht="17.100000000000001" customHeight="1" x14ac:dyDescent="0.2">
      <c r="A15" s="390" t="s">
        <v>12</v>
      </c>
      <c r="B15" s="480">
        <v>104183829.91999999</v>
      </c>
      <c r="C15" s="480">
        <v>128112946.40000001</v>
      </c>
      <c r="D15" s="480">
        <v>149842850.99000001</v>
      </c>
      <c r="E15" s="481">
        <f>64310431.33+91568066.9</f>
        <v>155878498.23000002</v>
      </c>
      <c r="F15" s="480">
        <v>6513478.8100000005</v>
      </c>
      <c r="G15" s="480">
        <v>7948586.75</v>
      </c>
      <c r="H15" s="480">
        <v>9229322.3300000001</v>
      </c>
      <c r="I15" s="481">
        <f>4243444.31+6042005.67</f>
        <v>10285449.98</v>
      </c>
      <c r="J15" s="480">
        <v>0</v>
      </c>
      <c r="K15" s="480">
        <v>0</v>
      </c>
      <c r="L15" s="480">
        <v>0</v>
      </c>
      <c r="M15" s="481">
        <v>0</v>
      </c>
      <c r="N15" s="480">
        <v>21698908.879999999</v>
      </c>
      <c r="O15" s="480">
        <v>23438643.289999999</v>
      </c>
      <c r="P15" s="480">
        <v>33839624.030000001</v>
      </c>
      <c r="Q15" s="481">
        <f>24157713.14+9837711.03</f>
        <v>33995424.170000002</v>
      </c>
    </row>
    <row r="16" spans="1:19" ht="17.100000000000001" customHeight="1" x14ac:dyDescent="0.2">
      <c r="A16" s="378" t="s">
        <v>13</v>
      </c>
      <c r="B16" s="480">
        <v>123514873.94</v>
      </c>
      <c r="C16" s="480">
        <v>133769365.87</v>
      </c>
      <c r="D16" s="480">
        <v>149715622.82999998</v>
      </c>
      <c r="E16" s="481">
        <f>68425990.6+95613316.18</f>
        <v>164039306.78</v>
      </c>
      <c r="F16" s="480">
        <v>7722038.1699999999</v>
      </c>
      <c r="G16" s="480">
        <v>8299531.2599999998</v>
      </c>
      <c r="H16" s="480">
        <v>9221485.9299999997</v>
      </c>
      <c r="I16" s="481">
        <f>4515004.33+6308926.46</f>
        <v>10823930.789999999</v>
      </c>
      <c r="J16" s="480">
        <v>11743751.530000001</v>
      </c>
      <c r="K16" s="480">
        <v>44271148.890000001</v>
      </c>
      <c r="L16" s="480">
        <v>42835906.990000002</v>
      </c>
      <c r="M16" s="481">
        <f>18570881.08+20774323.73</f>
        <v>39345204.810000002</v>
      </c>
      <c r="N16" s="480">
        <v>23528111.800000001</v>
      </c>
      <c r="O16" s="480">
        <v>30180584.66</v>
      </c>
      <c r="P16" s="480">
        <v>41336035.740000002</v>
      </c>
      <c r="Q16" s="481">
        <f>39584204.47+17067092.02</f>
        <v>56651296.489999995</v>
      </c>
    </row>
    <row r="17" spans="1:17" ht="17.100000000000001" customHeight="1" x14ac:dyDescent="0.2">
      <c r="A17" s="378" t="s">
        <v>14</v>
      </c>
      <c r="B17" s="480">
        <v>117374735.00999999</v>
      </c>
      <c r="C17" s="480">
        <v>121579045.33</v>
      </c>
      <c r="D17" s="480">
        <v>147754641.77000001</v>
      </c>
      <c r="E17" s="481">
        <f>62612306.17+100115495.78</f>
        <v>162727801.94999999</v>
      </c>
      <c r="F17" s="480">
        <v>7338162.2599999998</v>
      </c>
      <c r="G17" s="480">
        <v>7543200.0700000003</v>
      </c>
      <c r="H17" s="480">
        <v>9100702.5300000012</v>
      </c>
      <c r="I17" s="481">
        <f>4131395.6+6605997.18</f>
        <v>10737392.779999999</v>
      </c>
      <c r="J17" s="480">
        <v>0</v>
      </c>
      <c r="K17" s="480">
        <v>0</v>
      </c>
      <c r="L17" s="480">
        <v>0</v>
      </c>
      <c r="M17" s="481">
        <v>0</v>
      </c>
      <c r="N17" s="480">
        <v>20084625.649999999</v>
      </c>
      <c r="O17" s="480">
        <v>32148139.740000002</v>
      </c>
      <c r="P17" s="480">
        <v>39947724.549999997</v>
      </c>
      <c r="Q17" s="481">
        <f>27553494.55+11418222.87</f>
        <v>38971717.420000002</v>
      </c>
    </row>
    <row r="18" spans="1:17" ht="17.100000000000001" customHeight="1" x14ac:dyDescent="0.2">
      <c r="A18" s="390" t="s">
        <v>15</v>
      </c>
      <c r="B18" s="480">
        <v>115941248.59</v>
      </c>
      <c r="C18" s="480">
        <v>130533304.34</v>
      </c>
      <c r="D18" s="480">
        <v>117836542.19</v>
      </c>
      <c r="E18" s="481">
        <f>59316371.8+75385866.72</f>
        <v>134702238.51999998</v>
      </c>
      <c r="F18" s="480">
        <v>6831343.5500000007</v>
      </c>
      <c r="G18" s="480">
        <v>7666189.6500000004</v>
      </c>
      <c r="H18" s="480">
        <v>9578545.5099999998</v>
      </c>
      <c r="I18" s="481">
        <f>3913917.43+5356181.08</f>
        <v>9270098.5099999998</v>
      </c>
      <c r="J18" s="480">
        <v>15352783.66</v>
      </c>
      <c r="K18" s="480">
        <v>20787627.73</v>
      </c>
      <c r="L18" s="480">
        <v>20174749.620000001</v>
      </c>
      <c r="M18" s="481">
        <f>420574.19+15868506.98</f>
        <v>16289081.17</v>
      </c>
      <c r="N18" s="480">
        <v>26823685.18</v>
      </c>
      <c r="O18" s="480">
        <v>30509777.780000001</v>
      </c>
      <c r="P18" s="480">
        <v>45371842.519999996</v>
      </c>
      <c r="Q18" s="481">
        <f>22998883.53+18806250.22</f>
        <v>41805133.75</v>
      </c>
    </row>
    <row r="19" spans="1:17" ht="17.100000000000001" customHeight="1" x14ac:dyDescent="0.2">
      <c r="A19" s="378" t="s">
        <v>16</v>
      </c>
      <c r="B19" s="480">
        <v>123191068.21000001</v>
      </c>
      <c r="C19" s="480">
        <v>123271180.73</v>
      </c>
      <c r="D19" s="480">
        <v>131637792.44</v>
      </c>
      <c r="E19" s="481">
        <f>64743356.57+89897990.11</f>
        <v>154641346.68000001</v>
      </c>
      <c r="F19" s="480">
        <v>7643215.7199999997</v>
      </c>
      <c r="G19" s="480">
        <v>7592684.2700000005</v>
      </c>
      <c r="H19" s="480">
        <v>8376704.5999999996</v>
      </c>
      <c r="I19" s="481">
        <f>4291912.07+5959441.83</f>
        <v>10251353.9</v>
      </c>
      <c r="J19" s="480">
        <v>7086933.3799999999</v>
      </c>
      <c r="K19" s="480">
        <v>7495973.3799999999</v>
      </c>
      <c r="L19" s="480">
        <v>9573206.4299999997</v>
      </c>
      <c r="M19" s="481">
        <f>10452557.91+2256823.88</f>
        <v>12709381.789999999</v>
      </c>
      <c r="N19" s="480">
        <v>21147482.490000002</v>
      </c>
      <c r="O19" s="480">
        <v>23780770.009999998</v>
      </c>
      <c r="P19" s="480">
        <v>32147659.890000001</v>
      </c>
      <c r="Q19" s="481">
        <f>24100298.84+9576787.55</f>
        <v>33677086.390000001</v>
      </c>
    </row>
    <row r="20" spans="1:17" ht="17.100000000000001" customHeight="1" x14ac:dyDescent="0.2">
      <c r="A20" s="378" t="s">
        <v>17</v>
      </c>
      <c r="B20" s="480">
        <v>119585440.28999999</v>
      </c>
      <c r="C20" s="480">
        <v>132959688.38</v>
      </c>
      <c r="D20" s="480">
        <v>152380761.47999999</v>
      </c>
      <c r="E20" s="481">
        <f>59510463.2+99217882.1</f>
        <v>158728345.30000001</v>
      </c>
      <c r="F20" s="480">
        <v>7419509.6799999997</v>
      </c>
      <c r="G20" s="480">
        <v>8189431.8499999996</v>
      </c>
      <c r="H20" s="480">
        <v>9696673.0099999998</v>
      </c>
      <c r="I20" s="481">
        <f>3945017.47+6577268.24</f>
        <v>10522285.710000001</v>
      </c>
      <c r="J20" s="480">
        <v>5747141.8700000001</v>
      </c>
      <c r="K20" s="480">
        <v>5549521.3399999999</v>
      </c>
      <c r="L20" s="480">
        <v>8262671.6999999993</v>
      </c>
      <c r="M20" s="481">
        <f>4726326.42+2908214.77</f>
        <v>7634541.1899999995</v>
      </c>
      <c r="N20" s="480">
        <v>18179981.629999999</v>
      </c>
      <c r="O20" s="480">
        <v>26170461.479999997</v>
      </c>
      <c r="P20" s="480">
        <v>34690800.259999998</v>
      </c>
      <c r="Q20" s="481">
        <f>21935818.45+8692939.09</f>
        <v>30628757.539999999</v>
      </c>
    </row>
    <row r="21" spans="1:17" ht="17.100000000000001" customHeight="1" thickBot="1" x14ac:dyDescent="0.25">
      <c r="A21" s="393" t="s">
        <v>18</v>
      </c>
      <c r="B21" s="482">
        <v>150284193.12</v>
      </c>
      <c r="C21" s="482">
        <v>161219302.20999998</v>
      </c>
      <c r="D21" s="482">
        <v>173363447.88</v>
      </c>
      <c r="E21" s="483">
        <f>57664027.02+129482871.12</f>
        <v>187146898.14000002</v>
      </c>
      <c r="F21" s="484">
        <v>9324170.3999999985</v>
      </c>
      <c r="G21" s="482">
        <v>9930036.0199999996</v>
      </c>
      <c r="H21" s="482">
        <v>11031895.66</v>
      </c>
      <c r="I21" s="483">
        <f>3822615.09+8583569.41</f>
        <v>12406184.5</v>
      </c>
      <c r="J21" s="482">
        <v>28058764.800000001</v>
      </c>
      <c r="K21" s="482">
        <v>30547210.600000001</v>
      </c>
      <c r="L21" s="482">
        <v>34330441.780000001</v>
      </c>
      <c r="M21" s="483">
        <f>2326417.78+32407184.69</f>
        <v>34733602.469999999</v>
      </c>
      <c r="N21" s="482">
        <v>19816724.700000003</v>
      </c>
      <c r="O21" s="482">
        <v>30371676.059999999</v>
      </c>
      <c r="P21" s="482">
        <v>33375866.399999999</v>
      </c>
      <c r="Q21" s="483">
        <f>19462586.67+12922832.14</f>
        <v>32385418.810000002</v>
      </c>
    </row>
    <row r="22" spans="1:17" ht="21" customHeight="1" thickBot="1" x14ac:dyDescent="0.25">
      <c r="A22" s="397" t="s">
        <v>19</v>
      </c>
      <c r="B22" s="398">
        <f t="shared" ref="B22" si="0">SUM(B10:B21)</f>
        <v>1338915773.77</v>
      </c>
      <c r="C22" s="399">
        <f>SUM(C10:C21)</f>
        <v>1432105719.3400002</v>
      </c>
      <c r="D22" s="400">
        <f>SUM(D10:D21)</f>
        <v>1653249821.6399999</v>
      </c>
      <c r="E22" s="401">
        <f>SUM(E10:E21)</f>
        <v>1805692795.3099999</v>
      </c>
      <c r="F22" s="399">
        <f t="shared" ref="F22" si="1">SUM(F10:F21)</f>
        <v>83514048.599999994</v>
      </c>
      <c r="G22" s="399">
        <f>SUM(G10:G21)</f>
        <v>88232457.109999985</v>
      </c>
      <c r="H22" s="400">
        <f t="shared" ref="H22:Q22" si="2">SUM(H10:H21)</f>
        <v>105083370.53</v>
      </c>
      <c r="I22" s="401">
        <f t="shared" si="2"/>
        <v>119534962.69</v>
      </c>
      <c r="J22" s="402">
        <f t="shared" si="2"/>
        <v>89346402.209999993</v>
      </c>
      <c r="K22" s="399">
        <f t="shared" si="2"/>
        <v>133516350.74000001</v>
      </c>
      <c r="L22" s="400">
        <f t="shared" si="2"/>
        <v>141145183.44</v>
      </c>
      <c r="M22" s="401">
        <f t="shared" si="2"/>
        <v>136349858.97999999</v>
      </c>
      <c r="N22" s="399">
        <f t="shared" si="2"/>
        <v>231727000.73000002</v>
      </c>
      <c r="O22" s="399">
        <f t="shared" si="2"/>
        <v>296800935.10999995</v>
      </c>
      <c r="P22" s="400">
        <f t="shared" si="2"/>
        <v>407336011.3499999</v>
      </c>
      <c r="Q22" s="401">
        <f t="shared" si="2"/>
        <v>423976229.88000005</v>
      </c>
    </row>
    <row r="23" spans="1:17" ht="15.95" customHeight="1" x14ac:dyDescent="0.2">
      <c r="A23" s="71"/>
      <c r="B23" s="73"/>
      <c r="C23" s="73"/>
      <c r="D23" s="213"/>
      <c r="E23" s="91"/>
      <c r="F23" s="73"/>
      <c r="G23" s="73"/>
      <c r="H23" s="73"/>
      <c r="I23" s="213"/>
      <c r="J23" s="71"/>
      <c r="K23" s="73"/>
      <c r="L23" s="71"/>
      <c r="M23" s="91"/>
      <c r="N23" s="71"/>
      <c r="O23" s="73"/>
      <c r="P23" s="213"/>
    </row>
    <row r="24" spans="1:17" ht="15.95" customHeight="1" x14ac:dyDescent="0.2">
      <c r="A24" s="71"/>
      <c r="B24" s="73"/>
      <c r="C24" s="73"/>
      <c r="D24" s="213"/>
      <c r="E24" s="91"/>
      <c r="F24" s="73"/>
      <c r="G24" s="73"/>
      <c r="H24" s="73"/>
      <c r="I24" s="213"/>
      <c r="J24" s="71"/>
      <c r="K24" s="73"/>
      <c r="L24" s="71"/>
      <c r="M24" s="91"/>
      <c r="N24" s="71"/>
      <c r="O24" s="73"/>
      <c r="P24" s="213"/>
    </row>
    <row r="25" spans="1:17" ht="15.95" customHeight="1" thickBot="1" x14ac:dyDescent="0.25">
      <c r="A25" s="92"/>
      <c r="B25" s="73"/>
      <c r="C25" s="93"/>
      <c r="D25" s="213"/>
      <c r="E25" s="213"/>
      <c r="F25" s="73"/>
      <c r="G25" s="73"/>
      <c r="H25" s="73"/>
      <c r="I25" s="213"/>
      <c r="M25" s="381" t="s">
        <v>26</v>
      </c>
      <c r="P25" s="205"/>
    </row>
    <row r="26" spans="1:17" ht="14.45" customHeight="1" x14ac:dyDescent="0.2">
      <c r="A26" s="660" t="s">
        <v>2</v>
      </c>
      <c r="B26" s="702" t="s">
        <v>199</v>
      </c>
      <c r="C26" s="696"/>
      <c r="D26" s="696"/>
      <c r="E26" s="697"/>
      <c r="F26" s="703" t="s">
        <v>200</v>
      </c>
      <c r="G26" s="696"/>
      <c r="H26" s="696"/>
      <c r="I26" s="697"/>
      <c r="J26" s="704" t="s">
        <v>68</v>
      </c>
      <c r="K26" s="705"/>
      <c r="L26" s="705"/>
      <c r="M26" s="706"/>
      <c r="Q26" s="66"/>
    </row>
    <row r="27" spans="1:17" ht="14.45" customHeight="1" thickBot="1" x14ac:dyDescent="0.25">
      <c r="A27" s="661"/>
      <c r="B27" s="699"/>
      <c r="C27" s="699"/>
      <c r="D27" s="699"/>
      <c r="E27" s="700"/>
      <c r="F27" s="698"/>
      <c r="G27" s="699"/>
      <c r="H27" s="699"/>
      <c r="I27" s="700"/>
      <c r="J27" s="707"/>
      <c r="K27" s="708"/>
      <c r="L27" s="708"/>
      <c r="M27" s="709"/>
      <c r="Q27" s="66"/>
    </row>
    <row r="28" spans="1:17" ht="13.5" customHeight="1" x14ac:dyDescent="0.2">
      <c r="A28" s="661"/>
      <c r="B28" s="473"/>
      <c r="C28" s="473"/>
      <c r="D28" s="474"/>
      <c r="E28" s="721" t="s">
        <v>195</v>
      </c>
      <c r="F28" s="473"/>
      <c r="G28" s="473"/>
      <c r="H28" s="474"/>
      <c r="I28" s="721" t="s">
        <v>195</v>
      </c>
      <c r="J28" s="485"/>
      <c r="K28" s="486"/>
      <c r="L28" s="486"/>
      <c r="M28" s="721" t="s">
        <v>195</v>
      </c>
      <c r="Q28" s="66"/>
    </row>
    <row r="29" spans="1:17" ht="13.5" customHeight="1" thickBot="1" x14ac:dyDescent="0.25">
      <c r="A29" s="662"/>
      <c r="B29" s="475" t="s">
        <v>142</v>
      </c>
      <c r="C29" s="475" t="s">
        <v>152</v>
      </c>
      <c r="D29" s="476" t="s">
        <v>179</v>
      </c>
      <c r="E29" s="722"/>
      <c r="F29" s="475" t="s">
        <v>142</v>
      </c>
      <c r="G29" s="475" t="s">
        <v>152</v>
      </c>
      <c r="H29" s="476" t="s">
        <v>179</v>
      </c>
      <c r="I29" s="722"/>
      <c r="J29" s="487" t="s">
        <v>142</v>
      </c>
      <c r="K29" s="487" t="s">
        <v>152</v>
      </c>
      <c r="L29" s="487" t="s">
        <v>179</v>
      </c>
      <c r="M29" s="722"/>
      <c r="Q29" s="66"/>
    </row>
    <row r="30" spans="1:17" ht="17.100000000000001" customHeight="1" x14ac:dyDescent="0.2">
      <c r="A30" s="386" t="s">
        <v>7</v>
      </c>
      <c r="B30" s="477">
        <v>81834799.829999998</v>
      </c>
      <c r="C30" s="477">
        <v>46010065.100000001</v>
      </c>
      <c r="D30" s="477">
        <v>60557922.520000003</v>
      </c>
      <c r="E30" s="478">
        <f>41770675.95+6633434.22</f>
        <v>48404110.170000002</v>
      </c>
      <c r="F30" s="477">
        <v>339298940.76999998</v>
      </c>
      <c r="G30" s="477">
        <v>400740891.81999999</v>
      </c>
      <c r="H30" s="477">
        <v>466700647.34999996</v>
      </c>
      <c r="I30" s="478">
        <f>430420100.05+31191610.51</f>
        <v>461611710.56</v>
      </c>
      <c r="J30" s="488">
        <f>B10+F10+J10+N10+B30+F30</f>
        <v>655330022.90999997</v>
      </c>
      <c r="K30" s="489">
        <f>C10+G10+K10+O10+C30+G30</f>
        <v>623919431.04999995</v>
      </c>
      <c r="L30" s="489">
        <f>D10+H10+L10+P10+D30+H30</f>
        <v>725249801.49000001</v>
      </c>
      <c r="M30" s="478">
        <f>E10+I10+M10+Q10+E30+I30</f>
        <v>721774125.79999995</v>
      </c>
      <c r="O30" s="412"/>
      <c r="Q30" s="66"/>
    </row>
    <row r="31" spans="1:17" ht="17.100000000000001" customHeight="1" x14ac:dyDescent="0.2">
      <c r="A31" s="390" t="s">
        <v>8</v>
      </c>
      <c r="B31" s="480">
        <v>12199505.42</v>
      </c>
      <c r="C31" s="480">
        <v>16235712.719999999</v>
      </c>
      <c r="D31" s="480">
        <v>23188640.960000001</v>
      </c>
      <c r="E31" s="481">
        <f>8708506.07+12125254.82</f>
        <v>20833760.890000001</v>
      </c>
      <c r="F31" s="480">
        <v>443556322.52000004</v>
      </c>
      <c r="G31" s="480">
        <v>491911563.79999995</v>
      </c>
      <c r="H31" s="480">
        <v>518619536.76999998</v>
      </c>
      <c r="I31" s="481">
        <f>496346430.57+23512052.37</f>
        <v>519858482.94</v>
      </c>
      <c r="J31" s="490">
        <f t="shared" ref="J31:J41" si="3">B11+F11+J11+N11+B31+F31</f>
        <v>606205424.23000002</v>
      </c>
      <c r="K31" s="489">
        <f t="shared" ref="K31:K41" si="4">C11+G11+K11+O11+C31+G31</f>
        <v>646965827.43999994</v>
      </c>
      <c r="L31" s="489">
        <f t="shared" ref="L31:L41" si="5">D11+H11+L11+P11+D31+H31</f>
        <v>731242193.18999994</v>
      </c>
      <c r="M31" s="478">
        <f t="shared" ref="M31:M41" si="6">E11+I11+M11+Q11+E31+I31</f>
        <v>738950232.79999995</v>
      </c>
      <c r="O31" s="412"/>
      <c r="Q31" s="66"/>
    </row>
    <row r="32" spans="1:17" ht="17.100000000000001" customHeight="1" x14ac:dyDescent="0.2">
      <c r="A32" s="390" t="s">
        <v>9</v>
      </c>
      <c r="B32" s="480">
        <v>314342749.03000003</v>
      </c>
      <c r="C32" s="480">
        <v>325749039.32999998</v>
      </c>
      <c r="D32" s="480">
        <v>408539839.23000002</v>
      </c>
      <c r="E32" s="481">
        <f>14383104.57+459104031.42</f>
        <v>473487135.99000001</v>
      </c>
      <c r="F32" s="480">
        <v>172465589.19</v>
      </c>
      <c r="G32" s="480">
        <v>226972169.84</v>
      </c>
      <c r="H32" s="480">
        <v>307173715.31999999</v>
      </c>
      <c r="I32" s="481">
        <f>286804342.45+27540648.55</f>
        <v>314344991</v>
      </c>
      <c r="J32" s="490">
        <f t="shared" si="3"/>
        <v>599508379.8900001</v>
      </c>
      <c r="K32" s="489">
        <f t="shared" si="4"/>
        <v>665899794.28999996</v>
      </c>
      <c r="L32" s="489">
        <f t="shared" si="5"/>
        <v>875426373.0999999</v>
      </c>
      <c r="M32" s="478">
        <f t="shared" si="6"/>
        <v>963231318.96000004</v>
      </c>
      <c r="O32" s="412"/>
      <c r="Q32" s="66"/>
    </row>
    <row r="33" spans="1:17" ht="17.100000000000001" customHeight="1" x14ac:dyDescent="0.2">
      <c r="A33" s="390" t="s">
        <v>10</v>
      </c>
      <c r="B33" s="480">
        <v>86677429.63000001</v>
      </c>
      <c r="C33" s="480">
        <v>86353663.849999994</v>
      </c>
      <c r="D33" s="480">
        <v>94407435.609999999</v>
      </c>
      <c r="E33" s="481">
        <f>57120352.91+14835322.08</f>
        <v>71955674.989999995</v>
      </c>
      <c r="F33" s="480">
        <v>261685164.47</v>
      </c>
      <c r="G33" s="480">
        <v>350419050.11000001</v>
      </c>
      <c r="H33" s="480">
        <v>342134315.88</v>
      </c>
      <c r="I33" s="481">
        <f>322681875.6+28434574.24</f>
        <v>351116449.84000003</v>
      </c>
      <c r="J33" s="490">
        <f t="shared" si="3"/>
        <v>390225107.5</v>
      </c>
      <c r="K33" s="489">
        <f t="shared" si="4"/>
        <v>541994530.45000005</v>
      </c>
      <c r="L33" s="489">
        <f t="shared" si="5"/>
        <v>569104840.21000004</v>
      </c>
      <c r="M33" s="478">
        <f t="shared" si="6"/>
        <v>569392490</v>
      </c>
      <c r="O33" s="412"/>
      <c r="Q33" s="66"/>
    </row>
    <row r="34" spans="1:17" ht="17.100000000000001" customHeight="1" x14ac:dyDescent="0.2">
      <c r="A34" s="390" t="s">
        <v>11</v>
      </c>
      <c r="B34" s="480">
        <v>14648015.859999999</v>
      </c>
      <c r="C34" s="480">
        <v>44828663.789999999</v>
      </c>
      <c r="D34" s="480">
        <v>53120381.079999998</v>
      </c>
      <c r="E34" s="481">
        <f>32216965.31+28944843.55</f>
        <v>61161808.859999999</v>
      </c>
      <c r="F34" s="480">
        <v>434703525.30000001</v>
      </c>
      <c r="G34" s="480">
        <v>538314846.14999998</v>
      </c>
      <c r="H34" s="480">
        <v>566016826.93999994</v>
      </c>
      <c r="I34" s="481">
        <f>453334524.37+24101979.82</f>
        <v>477436504.19</v>
      </c>
      <c r="J34" s="490">
        <f t="shared" si="3"/>
        <v>527510129.56</v>
      </c>
      <c r="K34" s="489">
        <f t="shared" si="4"/>
        <v>705545517.49000001</v>
      </c>
      <c r="L34" s="489">
        <f t="shared" si="5"/>
        <v>781596921.56999993</v>
      </c>
      <c r="M34" s="478">
        <f t="shared" si="6"/>
        <v>721428530.96000004</v>
      </c>
      <c r="O34" s="412"/>
      <c r="Q34" s="66"/>
    </row>
    <row r="35" spans="1:17" ht="17.100000000000001" customHeight="1" x14ac:dyDescent="0.2">
      <c r="A35" s="390" t="s">
        <v>12</v>
      </c>
      <c r="B35" s="480">
        <v>363365952.23000002</v>
      </c>
      <c r="C35" s="480">
        <v>354087847.23000002</v>
      </c>
      <c r="D35" s="480">
        <v>426100665.89999998</v>
      </c>
      <c r="E35" s="481">
        <f>12360156.14+357185683.52</f>
        <v>369545839.65999997</v>
      </c>
      <c r="F35" s="480">
        <v>310635630.85000002</v>
      </c>
      <c r="G35" s="480">
        <v>352175365.78000003</v>
      </c>
      <c r="H35" s="480">
        <v>361203427.33000004</v>
      </c>
      <c r="I35" s="481">
        <f>386809740.63+22489289.44</f>
        <v>409299030.06999999</v>
      </c>
      <c r="J35" s="490">
        <f t="shared" si="3"/>
        <v>806397800.69000006</v>
      </c>
      <c r="K35" s="489">
        <f t="shared" si="4"/>
        <v>865763389.45000005</v>
      </c>
      <c r="L35" s="489">
        <f t="shared" si="5"/>
        <v>980215890.58000004</v>
      </c>
      <c r="M35" s="478">
        <f t="shared" si="6"/>
        <v>979004242.1099999</v>
      </c>
      <c r="O35" s="412"/>
      <c r="Q35" s="66"/>
    </row>
    <row r="36" spans="1:17" ht="17.100000000000001" customHeight="1" x14ac:dyDescent="0.2">
      <c r="A36" s="378" t="s">
        <v>13</v>
      </c>
      <c r="B36" s="480">
        <v>413459856.82999998</v>
      </c>
      <c r="C36" s="480">
        <v>549130259.65999997</v>
      </c>
      <c r="D36" s="480">
        <v>893783543.14999998</v>
      </c>
      <c r="E36" s="481">
        <f>433569080.3+172688678.37</f>
        <v>606257758.67000008</v>
      </c>
      <c r="F36" s="480">
        <v>374235468.61000001</v>
      </c>
      <c r="G36" s="480">
        <v>459375582.63</v>
      </c>
      <c r="H36" s="480">
        <v>460204035.65999997</v>
      </c>
      <c r="I36" s="481">
        <f>392162141.61+35089235.71</f>
        <v>427251377.31999999</v>
      </c>
      <c r="J36" s="490">
        <f t="shared" si="3"/>
        <v>954204100.88</v>
      </c>
      <c r="K36" s="489">
        <f t="shared" si="4"/>
        <v>1225026472.9699998</v>
      </c>
      <c r="L36" s="489">
        <f t="shared" si="5"/>
        <v>1597096630.2999997</v>
      </c>
      <c r="M36" s="478">
        <f t="shared" si="6"/>
        <v>1304368874.8600001</v>
      </c>
      <c r="O36" s="412"/>
      <c r="Q36" s="66"/>
    </row>
    <row r="37" spans="1:17" ht="17.100000000000001" customHeight="1" x14ac:dyDescent="0.2">
      <c r="A37" s="378" t="s">
        <v>14</v>
      </c>
      <c r="B37" s="480">
        <v>0</v>
      </c>
      <c r="C37" s="480">
        <v>0</v>
      </c>
      <c r="D37" s="480">
        <v>0</v>
      </c>
      <c r="E37" s="481">
        <v>0</v>
      </c>
      <c r="F37" s="480">
        <v>470903444.30000001</v>
      </c>
      <c r="G37" s="480">
        <v>516763487.87</v>
      </c>
      <c r="H37" s="480">
        <v>544575065.66999996</v>
      </c>
      <c r="I37" s="481">
        <f>471088453.55+27714961.65</f>
        <v>498803415.19999999</v>
      </c>
      <c r="J37" s="490">
        <f t="shared" si="3"/>
        <v>615700967.22000003</v>
      </c>
      <c r="K37" s="489">
        <f t="shared" si="4"/>
        <v>678033873.00999999</v>
      </c>
      <c r="L37" s="489">
        <f t="shared" si="5"/>
        <v>741378134.51999998</v>
      </c>
      <c r="M37" s="478">
        <f t="shared" si="6"/>
        <v>711240327.3499999</v>
      </c>
      <c r="Q37" s="66"/>
    </row>
    <row r="38" spans="1:17" ht="17.100000000000001" customHeight="1" x14ac:dyDescent="0.2">
      <c r="A38" s="390" t="s">
        <v>15</v>
      </c>
      <c r="B38" s="480">
        <v>263994552.93000001</v>
      </c>
      <c r="C38" s="480">
        <v>348363871.19999999</v>
      </c>
      <c r="D38" s="480">
        <v>351968612.04000002</v>
      </c>
      <c r="E38" s="481">
        <f>230914580.38</f>
        <v>230914580.38</v>
      </c>
      <c r="F38" s="480">
        <v>287100700.80000001</v>
      </c>
      <c r="G38" s="480">
        <v>334725348.94999999</v>
      </c>
      <c r="H38" s="480">
        <v>301801268.64999998</v>
      </c>
      <c r="I38" s="481">
        <f>361077242.57+2568582.34</f>
        <v>363645824.90999997</v>
      </c>
      <c r="J38" s="490">
        <f t="shared" si="3"/>
        <v>716044314.71000004</v>
      </c>
      <c r="K38" s="489">
        <f t="shared" si="4"/>
        <v>872586119.6500001</v>
      </c>
      <c r="L38" s="489">
        <f t="shared" si="5"/>
        <v>846731560.52999997</v>
      </c>
      <c r="M38" s="478">
        <f t="shared" si="6"/>
        <v>796626957.23999989</v>
      </c>
      <c r="Q38" s="66"/>
    </row>
    <row r="39" spans="1:17" ht="17.100000000000001" customHeight="1" x14ac:dyDescent="0.2">
      <c r="A39" s="378" t="s">
        <v>16</v>
      </c>
      <c r="B39" s="480">
        <v>60516881.009999998</v>
      </c>
      <c r="C39" s="480">
        <v>65873947.880000003</v>
      </c>
      <c r="D39" s="480">
        <v>92361393.890000001</v>
      </c>
      <c r="E39" s="481">
        <f>213200536.81+20723652.68</f>
        <v>233924189.49000001</v>
      </c>
      <c r="F39" s="480">
        <v>345527238.18000001</v>
      </c>
      <c r="G39" s="480">
        <v>417596662.25</v>
      </c>
      <c r="H39" s="480">
        <v>382529016.94999999</v>
      </c>
      <c r="I39" s="481">
        <f>369902465.45+32622445.2</f>
        <v>402524910.64999998</v>
      </c>
      <c r="J39" s="490">
        <f t="shared" si="3"/>
        <v>565112818.99000001</v>
      </c>
      <c r="K39" s="489">
        <f t="shared" si="4"/>
        <v>645611218.51999998</v>
      </c>
      <c r="L39" s="489">
        <f t="shared" si="5"/>
        <v>656625774.20000005</v>
      </c>
      <c r="M39" s="478">
        <f t="shared" si="6"/>
        <v>847728268.89999998</v>
      </c>
      <c r="Q39" s="66"/>
    </row>
    <row r="40" spans="1:17" ht="17.100000000000001" customHeight="1" x14ac:dyDescent="0.2">
      <c r="A40" s="378" t="s">
        <v>17</v>
      </c>
      <c r="B40" s="480">
        <v>9513833.5399999991</v>
      </c>
      <c r="C40" s="480">
        <v>6600879.3600000003</v>
      </c>
      <c r="D40" s="480">
        <v>79358060.210000008</v>
      </c>
      <c r="E40" s="481">
        <f>5897230.36+21228564.17</f>
        <v>27125794.530000001</v>
      </c>
      <c r="F40" s="480">
        <v>494041773.40999997</v>
      </c>
      <c r="G40" s="480">
        <v>604857975.34000003</v>
      </c>
      <c r="H40" s="480">
        <v>535469886.17000002</v>
      </c>
      <c r="I40" s="481">
        <f>513474392.22+43002532.31</f>
        <v>556476924.52999997</v>
      </c>
      <c r="J40" s="490">
        <f t="shared" si="3"/>
        <v>654487680.41999996</v>
      </c>
      <c r="K40" s="489">
        <f t="shared" si="4"/>
        <v>784327957.75</v>
      </c>
      <c r="L40" s="489">
        <f t="shared" si="5"/>
        <v>819858852.82999992</v>
      </c>
      <c r="M40" s="478">
        <f t="shared" si="6"/>
        <v>791116648.79999995</v>
      </c>
      <c r="Q40" s="66"/>
    </row>
    <row r="41" spans="1:17" ht="17.100000000000001" customHeight="1" thickBot="1" x14ac:dyDescent="0.25">
      <c r="A41" s="393" t="s">
        <v>18</v>
      </c>
      <c r="B41" s="482">
        <v>334478038.56</v>
      </c>
      <c r="C41" s="482">
        <v>400617189.49000001</v>
      </c>
      <c r="D41" s="482">
        <v>469787204.96999997</v>
      </c>
      <c r="E41" s="483">
        <f>8189990.92+474323570.99</f>
        <v>482513561.91000003</v>
      </c>
      <c r="F41" s="482">
        <v>439155478.29000002</v>
      </c>
      <c r="G41" s="482">
        <v>404815568.54999995</v>
      </c>
      <c r="H41" s="482">
        <v>529980211.92000002</v>
      </c>
      <c r="I41" s="483">
        <f>439580250.26+49566213.83</f>
        <v>489146464.08999997</v>
      </c>
      <c r="J41" s="491">
        <f t="shared" si="3"/>
        <v>981117369.87000012</v>
      </c>
      <c r="K41" s="489">
        <f t="shared" si="4"/>
        <v>1037500982.9299999</v>
      </c>
      <c r="L41" s="489">
        <f t="shared" si="5"/>
        <v>1251869068.6099999</v>
      </c>
      <c r="M41" s="492">
        <f t="shared" si="6"/>
        <v>1238332129.9200001</v>
      </c>
      <c r="Q41" s="66"/>
    </row>
    <row r="42" spans="1:17" ht="21" customHeight="1" thickBot="1" x14ac:dyDescent="0.25">
      <c r="A42" s="397" t="s">
        <v>19</v>
      </c>
      <c r="B42" s="399">
        <f t="shared" ref="B42:D42" si="7">SUM(B30:B41)</f>
        <v>1955031614.8699999</v>
      </c>
      <c r="C42" s="399">
        <f t="shared" si="7"/>
        <v>2243851139.6099997</v>
      </c>
      <c r="D42" s="400">
        <f t="shared" si="7"/>
        <v>2953173699.5599999</v>
      </c>
      <c r="E42" s="401">
        <f t="shared" ref="E42:L42" si="8">SUM(E30:E41)</f>
        <v>2626124215.54</v>
      </c>
      <c r="F42" s="402">
        <f t="shared" si="8"/>
        <v>4373309276.6900005</v>
      </c>
      <c r="G42" s="399">
        <f t="shared" si="8"/>
        <v>5098668513.0900002</v>
      </c>
      <c r="H42" s="400">
        <f t="shared" si="8"/>
        <v>5316407954.6099997</v>
      </c>
      <c r="I42" s="401">
        <f t="shared" si="8"/>
        <v>5271516085.3000002</v>
      </c>
      <c r="J42" s="408">
        <f>SUM(J30:J41)</f>
        <v>8071844116.8699999</v>
      </c>
      <c r="K42" s="409">
        <f t="shared" si="8"/>
        <v>9293175115</v>
      </c>
      <c r="L42" s="409">
        <f t="shared" si="8"/>
        <v>10576396041.129999</v>
      </c>
      <c r="M42" s="401">
        <f>E22+I22+M22+Q22+E42+I42</f>
        <v>10383194147.700001</v>
      </c>
      <c r="Q42" s="66"/>
    </row>
    <row r="43" spans="1:17" x14ac:dyDescent="0.2">
      <c r="A43" s="92"/>
      <c r="B43" s="73"/>
      <c r="C43" s="73"/>
      <c r="D43" s="73"/>
      <c r="E43" s="213"/>
      <c r="F43" s="73"/>
      <c r="G43" s="73"/>
      <c r="H43" s="73"/>
      <c r="I43" s="213"/>
      <c r="J43" s="71"/>
      <c r="K43" s="73"/>
      <c r="L43" s="73"/>
      <c r="M43" s="213"/>
      <c r="N43" s="73"/>
      <c r="O43" s="73"/>
      <c r="P43" s="73"/>
    </row>
  </sheetData>
  <mergeCells count="19">
    <mergeCell ref="A26:A29"/>
    <mergeCell ref="B26:E27"/>
    <mergeCell ref="F26:I27"/>
    <mergeCell ref="J26:M27"/>
    <mergeCell ref="E28:E29"/>
    <mergeCell ref="I28:I29"/>
    <mergeCell ref="M28:M29"/>
    <mergeCell ref="A1:Q1"/>
    <mergeCell ref="A2:Q2"/>
    <mergeCell ref="A4:Q4"/>
    <mergeCell ref="A6:A9"/>
    <mergeCell ref="B6:E7"/>
    <mergeCell ref="F6:I7"/>
    <mergeCell ref="J6:M7"/>
    <mergeCell ref="N6:Q7"/>
    <mergeCell ref="E8:E9"/>
    <mergeCell ref="I8:I9"/>
    <mergeCell ref="M8:M9"/>
    <mergeCell ref="Q8:Q9"/>
  </mergeCells>
  <pageMargins left="0.51181102362204722" right="0.51181102362204722" top="0.51181102362204722" bottom="0.51181102362204722" header="0.31496062992125984" footer="0.31496062992125984"/>
  <pageSetup paperSize="9" scale="67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E3D92-2A89-4ECE-BE7B-DDC520136D22}">
  <sheetPr>
    <tabColor rgb="FF000000"/>
  </sheetPr>
  <dimension ref="A1:S64"/>
  <sheetViews>
    <sheetView showGridLines="0" view="pageBreakPreview" zoomScale="160" zoomScaleNormal="160" zoomScaleSheetLayoutView="160" workbookViewId="0">
      <selection sqref="A1:O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512" t="s">
        <v>201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451"/>
      <c r="Q1" s="451"/>
      <c r="R1" s="452"/>
      <c r="S1" s="452"/>
    </row>
    <row r="2" spans="1:19" ht="19.5" x14ac:dyDescent="0.3">
      <c r="A2" s="686" t="s">
        <v>204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5" spans="1:19" ht="12.75" customHeight="1" x14ac:dyDescent="0.2"/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1:19" ht="12.75" customHeight="1" x14ac:dyDescent="0.2"/>
    <row r="34" spans="1:19" ht="12.75" customHeight="1" x14ac:dyDescent="0.2"/>
    <row r="35" spans="1:19" ht="12.75" customHeight="1" x14ac:dyDescent="0.2"/>
    <row r="36" spans="1:19" ht="12.75" customHeight="1" x14ac:dyDescent="0.2"/>
    <row r="37" spans="1:19" ht="12.75" customHeight="1" x14ac:dyDescent="0.2"/>
    <row r="38" spans="1:19" ht="6" customHeight="1" x14ac:dyDescent="0.2"/>
    <row r="39" spans="1:19" ht="12.75" customHeight="1" x14ac:dyDescent="0.2">
      <c r="I39" s="472" t="s">
        <v>35</v>
      </c>
      <c r="K39" s="60"/>
    </row>
    <row r="40" spans="1:19" ht="12.75" customHeight="1" x14ac:dyDescent="0.2">
      <c r="K40" s="60"/>
    </row>
    <row r="41" spans="1:19" ht="28.5" x14ac:dyDescent="0.45">
      <c r="A41" s="512" t="s">
        <v>202</v>
      </c>
      <c r="B41" s="685"/>
      <c r="C41" s="685"/>
      <c r="D41" s="685"/>
      <c r="E41" s="685"/>
      <c r="F41" s="685"/>
      <c r="G41" s="685"/>
      <c r="H41" s="685"/>
      <c r="I41" s="685"/>
      <c r="J41" s="685"/>
      <c r="K41" s="685"/>
      <c r="L41" s="685"/>
      <c r="M41" s="685"/>
      <c r="N41" s="685"/>
      <c r="O41" s="685"/>
      <c r="P41" s="452"/>
      <c r="Q41" s="452"/>
      <c r="R41" s="452"/>
      <c r="S41" s="452"/>
    </row>
    <row r="42" spans="1:19" ht="19.5" x14ac:dyDescent="0.3">
      <c r="A42" s="686" t="s">
        <v>204</v>
      </c>
      <c r="B42" s="687"/>
      <c r="C42" s="687"/>
      <c r="D42" s="687"/>
      <c r="E42" s="687"/>
      <c r="F42" s="687"/>
      <c r="G42" s="687"/>
      <c r="H42" s="687"/>
      <c r="I42" s="687"/>
      <c r="J42" s="687"/>
      <c r="K42" s="687"/>
      <c r="L42" s="687"/>
      <c r="M42" s="687"/>
      <c r="N42" s="687"/>
      <c r="O42" s="687"/>
      <c r="P42"/>
      <c r="Q42"/>
      <c r="R42"/>
      <c r="S42"/>
    </row>
    <row r="43" spans="1:19" ht="12.75" customHeight="1" x14ac:dyDescent="0.2"/>
    <row r="64" spans="11:19" x14ac:dyDescent="0.2">
      <c r="K64" s="632"/>
      <c r="L64" s="633"/>
      <c r="M64" s="633"/>
      <c r="N64" s="633"/>
      <c r="O64" s="633"/>
      <c r="P64" s="633"/>
      <c r="Q64" s="633"/>
      <c r="R64" s="633"/>
      <c r="S64" s="633"/>
    </row>
  </sheetData>
  <mergeCells count="5">
    <mergeCell ref="A1:O1"/>
    <mergeCell ref="A2:O2"/>
    <mergeCell ref="A41:O41"/>
    <mergeCell ref="A42:O42"/>
    <mergeCell ref="K64:S64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40" max="14" man="1"/>
  </rowBreaks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7DD56-E48F-4EEE-8429-A91B5670FD47}">
  <sheetPr>
    <tabColor theme="5" tint="-0.499984740745262"/>
    <pageSetUpPr fitToPage="1"/>
  </sheetPr>
  <dimension ref="A1:N48"/>
  <sheetViews>
    <sheetView showGridLines="0" tabSelected="1" zoomScale="140" zoomScaleNormal="140" zoomScaleSheetLayoutView="130" workbookViewId="0">
      <selection activeCell="A3" sqref="A3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85" t="s">
        <v>209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20.25" x14ac:dyDescent="0.3">
      <c r="A2" s="638" t="s">
        <v>230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A3" s="212"/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67" t="s">
        <v>2</v>
      </c>
      <c r="B4" s="694" t="s">
        <v>210</v>
      </c>
      <c r="C4" s="696"/>
      <c r="D4" s="697"/>
      <c r="E4" s="701" t="s">
        <v>159</v>
      </c>
      <c r="F4" s="696"/>
      <c r="G4" s="697"/>
      <c r="H4" s="694" t="s">
        <v>211</v>
      </c>
      <c r="I4" s="696"/>
      <c r="J4" s="697"/>
      <c r="K4" s="688" t="s">
        <v>212</v>
      </c>
      <c r="L4" s="696"/>
      <c r="M4" s="697"/>
      <c r="N4" s="73"/>
    </row>
    <row r="5" spans="1:14" ht="14.45" customHeight="1" thickBot="1" x14ac:dyDescent="0.25">
      <c r="A5" s="645"/>
      <c r="B5" s="698"/>
      <c r="C5" s="699"/>
      <c r="D5" s="700"/>
      <c r="E5" s="698"/>
      <c r="F5" s="699"/>
      <c r="G5" s="700"/>
      <c r="H5" s="698"/>
      <c r="I5" s="699"/>
      <c r="J5" s="700"/>
      <c r="K5" s="698"/>
      <c r="L5" s="699"/>
      <c r="M5" s="700"/>
      <c r="N5" s="71"/>
    </row>
    <row r="6" spans="1:14" ht="14.45" customHeight="1" x14ac:dyDescent="0.2">
      <c r="A6" s="645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84" t="s">
        <v>6</v>
      </c>
      <c r="I6" s="557" t="s">
        <v>31</v>
      </c>
      <c r="J6" s="559" t="s">
        <v>32</v>
      </c>
      <c r="K6" s="584" t="s">
        <v>23</v>
      </c>
      <c r="L6" s="557" t="s">
        <v>31</v>
      </c>
      <c r="M6" s="559" t="s">
        <v>32</v>
      </c>
    </row>
    <row r="7" spans="1:14" ht="14.45" customHeight="1" thickBot="1" x14ac:dyDescent="0.25">
      <c r="A7" s="646"/>
      <c r="B7" s="636"/>
      <c r="C7" s="635"/>
      <c r="D7" s="634"/>
      <c r="E7" s="636"/>
      <c r="F7" s="635"/>
      <c r="G7" s="634"/>
      <c r="H7" s="636"/>
      <c r="I7" s="635"/>
      <c r="J7" s="634"/>
      <c r="K7" s="636"/>
      <c r="L7" s="635"/>
      <c r="M7" s="634"/>
    </row>
    <row r="8" spans="1:14" ht="15.95" customHeight="1" x14ac:dyDescent="0.2">
      <c r="A8" s="245" t="s">
        <v>7</v>
      </c>
      <c r="B8" s="247">
        <f>67099402.63+104493856.7</f>
        <v>171593259.33000001</v>
      </c>
      <c r="C8" s="248">
        <f>C20/12</f>
        <v>158247666.66666666</v>
      </c>
      <c r="D8" s="249">
        <f>B8-C8</f>
        <v>13345592.663333356</v>
      </c>
      <c r="E8" s="250">
        <f>4448097.03+7144921.7</f>
        <v>11593018.73</v>
      </c>
      <c r="F8" s="248">
        <f>F20/12</f>
        <v>10475833.333333334</v>
      </c>
      <c r="G8" s="249">
        <f>E8-F8</f>
        <v>1117185.3966666665</v>
      </c>
      <c r="H8" s="250">
        <f>6030166.8+1848145.17</f>
        <v>7878311.9699999997</v>
      </c>
      <c r="I8" s="248">
        <f>I20/12</f>
        <v>11688583.333333334</v>
      </c>
      <c r="J8" s="251">
        <f>H8-I8</f>
        <v>-3810271.3633333342</v>
      </c>
      <c r="K8" s="250">
        <f>21200281.41+7204869.8</f>
        <v>28405151.210000001</v>
      </c>
      <c r="L8" s="248">
        <f>L20/12</f>
        <v>32872833.333333332</v>
      </c>
      <c r="M8" s="251">
        <f>K8-L8</f>
        <v>-4467682.1233333312</v>
      </c>
    </row>
    <row r="9" spans="1:14" ht="15.95" customHeight="1" x14ac:dyDescent="0.2">
      <c r="A9" s="246" t="s">
        <v>8</v>
      </c>
      <c r="B9" s="252">
        <f>69028936.18+84106026.53</f>
        <v>153134962.71000001</v>
      </c>
      <c r="C9" s="253">
        <f>C8*2</f>
        <v>316495333.33333331</v>
      </c>
      <c r="D9" s="249">
        <f>SUM(B8+B9)-C9</f>
        <v>8232888.706666708</v>
      </c>
      <c r="E9" s="247">
        <f>4719955.35+5750873.64</f>
        <v>10470828.989999998</v>
      </c>
      <c r="F9" s="253">
        <f>F8*2</f>
        <v>20951666.666666668</v>
      </c>
      <c r="G9" s="249">
        <f>SUM(E8+E9)-F9</f>
        <v>1112181.0533333309</v>
      </c>
      <c r="H9" s="247">
        <f>3076821.45+3335344.52</f>
        <v>6412165.9700000007</v>
      </c>
      <c r="I9" s="253">
        <f>I8*2</f>
        <v>23377166.666666668</v>
      </c>
      <c r="J9" s="249">
        <f>SUM(H8+H9)-I9</f>
        <v>-9086688.7266666666</v>
      </c>
      <c r="K9" s="252">
        <f>26591550.62+6605222.48</f>
        <v>33196773.100000001</v>
      </c>
      <c r="L9" s="253">
        <f>L8*2</f>
        <v>65745666.666666664</v>
      </c>
      <c r="M9" s="249">
        <f>SUM(K8+K9)-L9</f>
        <v>-4143742.3566666618</v>
      </c>
    </row>
    <row r="10" spans="1:14" ht="15.95" customHeight="1" x14ac:dyDescent="0.2">
      <c r="A10" s="246" t="s">
        <v>9</v>
      </c>
      <c r="B10" s="252">
        <f>63787395.22+71854014.53</f>
        <v>135641409.75</v>
      </c>
      <c r="C10" s="253">
        <f>C8*3</f>
        <v>474743000</v>
      </c>
      <c r="D10" s="249">
        <f>SUM(B8+B9+B10)-C10</f>
        <v>-14373368.209999979</v>
      </c>
      <c r="E10" s="247">
        <f>4361557.25+4913124.25</f>
        <v>9274681.5</v>
      </c>
      <c r="F10" s="254">
        <f>F8*3</f>
        <v>31427500</v>
      </c>
      <c r="G10" s="249">
        <f>SUM(E8+E9+E10)-F10</f>
        <v>-88970.780000001192</v>
      </c>
      <c r="H10" s="247">
        <f>5990012.77+24836374.45</f>
        <v>30826387.219999999</v>
      </c>
      <c r="I10" s="254">
        <f>I8*3</f>
        <v>35065750</v>
      </c>
      <c r="J10" s="249">
        <f>SUM(H8+H9+H10)-I10</f>
        <v>10051115.159999996</v>
      </c>
      <c r="K10" s="252">
        <f>17238095.7+8245802.45</f>
        <v>25483898.149999999</v>
      </c>
      <c r="L10" s="254">
        <f>L8*3</f>
        <v>98618500</v>
      </c>
      <c r="M10" s="249">
        <f>SUM(K8+K9+K10)-L10</f>
        <v>-11532677.539999992</v>
      </c>
    </row>
    <row r="11" spans="1:14" ht="15.95" customHeight="1" x14ac:dyDescent="0.2">
      <c r="A11" s="246" t="s">
        <v>10</v>
      </c>
      <c r="B11" s="252">
        <f>50422050.74+80592098.88</f>
        <v>131014149.62</v>
      </c>
      <c r="C11" s="253">
        <f>C8*4</f>
        <v>632990666.66666663</v>
      </c>
      <c r="D11" s="249">
        <f>SUM(B8+B9+B10+B11)-C11</f>
        <v>-41606885.256666541</v>
      </c>
      <c r="E11" s="247">
        <f>3447682.11+5510603.67</f>
        <v>8958285.7799999993</v>
      </c>
      <c r="F11" s="253">
        <f>F8*4</f>
        <v>41903333.333333336</v>
      </c>
      <c r="G11" s="249">
        <f>SUM(E8+E9+E10+E11)-F11</f>
        <v>-1606518.3333333358</v>
      </c>
      <c r="H11" s="247">
        <v>0</v>
      </c>
      <c r="I11" s="253">
        <f>I8*4</f>
        <v>46754333.333333336</v>
      </c>
      <c r="J11" s="249">
        <f>SUM(H8+H9+H10+H11)-I11</f>
        <v>-1637468.1733333394</v>
      </c>
      <c r="K11" s="252">
        <f>17627316.24+10219806.72</f>
        <v>27847122.960000001</v>
      </c>
      <c r="L11" s="253">
        <f>L8*4</f>
        <v>131491333.33333333</v>
      </c>
      <c r="M11" s="249">
        <f>SUM(K8+K9+K10+K11)-L11</f>
        <v>-16558387.913333312</v>
      </c>
    </row>
    <row r="12" spans="1:14" ht="15.95" customHeight="1" x14ac:dyDescent="0.2">
      <c r="A12" s="246" t="s">
        <v>11</v>
      </c>
      <c r="B12" s="252">
        <f>48673478.43+102089033.25</f>
        <v>150762511.68000001</v>
      </c>
      <c r="C12" s="253">
        <f>C8*5</f>
        <v>791238333.33333325</v>
      </c>
      <c r="D12" s="249">
        <f>SUM(B8+B9+B10+B11+B12)-C12</f>
        <v>-49092040.243333101</v>
      </c>
      <c r="E12" s="247">
        <f>3328120.88+6980488.26</f>
        <v>10308609.140000001</v>
      </c>
      <c r="F12" s="253">
        <f>F8*5</f>
        <v>52379166.666666672</v>
      </c>
      <c r="G12" s="249">
        <f>SUM(E8+E9+E10+E11+E12)-F12</f>
        <v>-1773742.526666671</v>
      </c>
      <c r="H12" s="247">
        <v>0</v>
      </c>
      <c r="I12" s="253">
        <f>I8*5</f>
        <v>58442916.666666672</v>
      </c>
      <c r="J12" s="249">
        <f>SUM(H8+H9+H10+H11+H12)-I12</f>
        <v>-13326051.506666675</v>
      </c>
      <c r="K12" s="252">
        <f>18948787.2+8830223.57</f>
        <v>27779010.77</v>
      </c>
      <c r="L12" s="253">
        <f>L8*5</f>
        <v>164364166.66666666</v>
      </c>
      <c r="M12" s="249">
        <f>SUM(K8+K9+K10+K11+K12)-L12</f>
        <v>-21652210.476666629</v>
      </c>
    </row>
    <row r="13" spans="1:14" ht="15.95" customHeight="1" x14ac:dyDescent="0.2">
      <c r="A13" s="498" t="s">
        <v>12</v>
      </c>
      <c r="B13" s="255">
        <f>71487676.8</f>
        <v>71487676.799999997</v>
      </c>
      <c r="C13" s="497">
        <f>C8*6</f>
        <v>949486000</v>
      </c>
      <c r="D13" s="494">
        <f>SUM(B8+B9+B10+B11+B12+B13)-C13</f>
        <v>-135852030.1099999</v>
      </c>
      <c r="E13" s="256">
        <f>4888075.38</f>
        <v>4888075.38</v>
      </c>
      <c r="F13" s="497">
        <f>F8*6</f>
        <v>62855000</v>
      </c>
      <c r="G13" s="494">
        <f>SUM(E8+E9+E10+E11+E12+E13)-F13</f>
        <v>-7361500.4799999967</v>
      </c>
      <c r="H13" s="256">
        <v>0</v>
      </c>
      <c r="I13" s="497">
        <f>I8*6</f>
        <v>70131500</v>
      </c>
      <c r="J13" s="494">
        <f>SUM(H8+H9+H10+H11+H12+H13)-I13</f>
        <v>-25014634.840000004</v>
      </c>
      <c r="K13" s="255">
        <f>17725598.03</f>
        <v>17725598.030000001</v>
      </c>
      <c r="L13" s="497">
        <f>L8*6</f>
        <v>197237000</v>
      </c>
      <c r="M13" s="494">
        <f>SUM(K8+K9+K10+K11+K12+K13)-L13</f>
        <v>-36799445.779999971</v>
      </c>
    </row>
    <row r="14" spans="1:14" ht="15.95" customHeight="1" x14ac:dyDescent="0.2">
      <c r="A14" s="246" t="s">
        <v>13</v>
      </c>
      <c r="B14" s="252">
        <v>0</v>
      </c>
      <c r="C14" s="253">
        <f>C8*7</f>
        <v>1107733666.6666665</v>
      </c>
      <c r="D14" s="249">
        <f>SUM(B8+B9+B10+B11+B12+B13+B14)-C14</f>
        <v>-294099696.7766664</v>
      </c>
      <c r="E14" s="247">
        <v>0</v>
      </c>
      <c r="F14" s="253">
        <f>F8*7</f>
        <v>73330833.333333343</v>
      </c>
      <c r="G14" s="249">
        <f>SUM(E8+E9+E10+E11+E12+E13+E14)-F14</f>
        <v>-17837333.81333334</v>
      </c>
      <c r="H14" s="247">
        <v>0</v>
      </c>
      <c r="I14" s="253">
        <f>I8*7</f>
        <v>81820083.333333343</v>
      </c>
      <c r="J14" s="249">
        <f>SUM(H8+H9+H10+H11+H12+H13+H14)-I14</f>
        <v>-36703218.173333347</v>
      </c>
      <c r="K14" s="252">
        <v>0</v>
      </c>
      <c r="L14" s="253">
        <f>L8*7</f>
        <v>230109833.33333331</v>
      </c>
      <c r="M14" s="249">
        <f>SUM(K8+K9+K10+K11+K12+K13+K14)-L14</f>
        <v>-69672279.113333285</v>
      </c>
    </row>
    <row r="15" spans="1:14" ht="15.95" customHeight="1" x14ac:dyDescent="0.2">
      <c r="A15" s="246" t="s">
        <v>14</v>
      </c>
      <c r="B15" s="252">
        <v>0</v>
      </c>
      <c r="C15" s="253">
        <f>C8*8</f>
        <v>1265981333.3333333</v>
      </c>
      <c r="D15" s="249">
        <f>SUM(B8+B9+B10+B11+B12+B13+B14+B15)-C15</f>
        <v>-452347363.44333315</v>
      </c>
      <c r="E15" s="247">
        <v>0</v>
      </c>
      <c r="F15" s="253">
        <f>F8*8</f>
        <v>83806666.666666672</v>
      </c>
      <c r="G15" s="249">
        <f>SUM(E8+E9+E10+E11+E12+E13+E14+E15)-F15</f>
        <v>-28313167.146666668</v>
      </c>
      <c r="H15" s="247">
        <v>0</v>
      </c>
      <c r="I15" s="253">
        <f>I8*8</f>
        <v>93508666.666666672</v>
      </c>
      <c r="J15" s="249">
        <f>SUM(H8+H9+H10+H11+H12+H13+H14+H15)-I15</f>
        <v>-48391801.506666675</v>
      </c>
      <c r="K15" s="252">
        <v>0</v>
      </c>
      <c r="L15" s="253">
        <f>L8*8</f>
        <v>262982666.66666666</v>
      </c>
      <c r="M15" s="249">
        <f>SUM(K8+K9+K10+K11+K12+K13+K14+K15)-L15</f>
        <v>-102545112.44666663</v>
      </c>
    </row>
    <row r="16" spans="1:14" ht="15.95" customHeight="1" x14ac:dyDescent="0.2">
      <c r="A16" s="246" t="s">
        <v>15</v>
      </c>
      <c r="B16" s="252">
        <v>0</v>
      </c>
      <c r="C16" s="253">
        <f>C8*9</f>
        <v>1424229000</v>
      </c>
      <c r="D16" s="249">
        <f>SUM(B8+B9+B10+B11+B12+B13+B14+B15+B16)-C16</f>
        <v>-610595030.1099999</v>
      </c>
      <c r="E16" s="247">
        <v>0</v>
      </c>
      <c r="F16" s="253">
        <f>F8*9</f>
        <v>94282500</v>
      </c>
      <c r="G16" s="249">
        <f>SUM(E8+E9+E10+E11+E12+E13+E14+E15+E16)-F16</f>
        <v>-38789000.479999997</v>
      </c>
      <c r="H16" s="247">
        <v>0</v>
      </c>
      <c r="I16" s="253">
        <f>I8*9</f>
        <v>105197250</v>
      </c>
      <c r="J16" s="249">
        <f>SUM(H8+H9+H10+H11+H12+H13+H14+H15+H16)-I16</f>
        <v>-60080384.840000004</v>
      </c>
      <c r="K16" s="252">
        <v>0</v>
      </c>
      <c r="L16" s="253">
        <f>L8*9</f>
        <v>295855500</v>
      </c>
      <c r="M16" s="249">
        <f>SUM(K8+K9+K10+K11+K12+K13+K14+K15+K16)-L16</f>
        <v>-135417945.77999997</v>
      </c>
    </row>
    <row r="17" spans="1:13" ht="15.95" customHeight="1" x14ac:dyDescent="0.2">
      <c r="A17" s="246" t="s">
        <v>16</v>
      </c>
      <c r="B17" s="252">
        <v>0</v>
      </c>
      <c r="C17" s="253">
        <f>C8*10</f>
        <v>1582476666.6666665</v>
      </c>
      <c r="D17" s="249">
        <f>SUM(B8+B9+B10+B11+B12+B13+B14+B15+B16+B17)-C17</f>
        <v>-768842696.7766664</v>
      </c>
      <c r="E17" s="247">
        <v>0</v>
      </c>
      <c r="F17" s="253">
        <f>F8*10</f>
        <v>104758333.33333334</v>
      </c>
      <c r="G17" s="249">
        <f>SUM(E8+E9+E10+E11+E12+E13+E14+E15+E16+E17)-F17</f>
        <v>-49264833.81333334</v>
      </c>
      <c r="H17" s="247">
        <v>0</v>
      </c>
      <c r="I17" s="253">
        <f>I8*10</f>
        <v>116885833.33333334</v>
      </c>
      <c r="J17" s="249">
        <f>SUM(H8+H9+H10+H11+H12+H13+H14+H15+H16+H17)-I17</f>
        <v>-71768968.173333347</v>
      </c>
      <c r="K17" s="252">
        <v>0</v>
      </c>
      <c r="L17" s="253">
        <f>L8*10</f>
        <v>328728333.33333331</v>
      </c>
      <c r="M17" s="249">
        <f>SUM(K8+K9+K10+K11+K12+K13+K14+K15+K16+K17)-L17</f>
        <v>-168290779.11333328</v>
      </c>
    </row>
    <row r="18" spans="1:13" ht="15.95" customHeight="1" x14ac:dyDescent="0.2">
      <c r="A18" s="246" t="s">
        <v>17</v>
      </c>
      <c r="B18" s="252">
        <v>0</v>
      </c>
      <c r="C18" s="253">
        <f>C8*11</f>
        <v>1740724333.3333333</v>
      </c>
      <c r="D18" s="249">
        <f>SUM(B8+B9+B10+B11+B12+B13+B14+B15+B16+B17+B18)-C18</f>
        <v>-927090363.44333315</v>
      </c>
      <c r="E18" s="247">
        <v>0</v>
      </c>
      <c r="F18" s="253">
        <f>F8*11</f>
        <v>115234166.66666667</v>
      </c>
      <c r="G18" s="249">
        <f>SUM(E8+E9+E10+E11+E12+E13+E14+E15+E16+E17+E18)-F18</f>
        <v>-59740667.146666668</v>
      </c>
      <c r="H18" s="247">
        <v>0</v>
      </c>
      <c r="I18" s="253">
        <f>I8*11</f>
        <v>128574416.66666667</v>
      </c>
      <c r="J18" s="249">
        <f>SUM(H8+H9+H10+H11+H12+H13+H14+H15+H16+H17+H18)-I18</f>
        <v>-83457551.506666675</v>
      </c>
      <c r="K18" s="252">
        <v>0</v>
      </c>
      <c r="L18" s="253">
        <f>L8*11</f>
        <v>361601166.66666663</v>
      </c>
      <c r="M18" s="249">
        <f>SUM(K8+K9+K10+K11+K12+K13+K14+K15+K16+K17+K18)-L18</f>
        <v>-201163612.4466666</v>
      </c>
    </row>
    <row r="19" spans="1:13" ht="15.95" customHeight="1" thickBot="1" x14ac:dyDescent="0.25">
      <c r="A19" s="339" t="s">
        <v>18</v>
      </c>
      <c r="B19" s="331">
        <v>0</v>
      </c>
      <c r="C19" s="332">
        <f>C8*12</f>
        <v>1898972000</v>
      </c>
      <c r="D19" s="249">
        <f>SUM(B8+B9+B10+B11+B12+B13+B14+B15+B16+B17+B18+B19)-C19</f>
        <v>-1085338030.1099999</v>
      </c>
      <c r="E19" s="333">
        <v>0</v>
      </c>
      <c r="F19" s="332">
        <f>F8*12</f>
        <v>125710000</v>
      </c>
      <c r="G19" s="249">
        <f>SUM(E8+E9+E10+E11+E12+E13+E14+E15+E16+E17+E18+E19)-F19</f>
        <v>-70216500.479999989</v>
      </c>
      <c r="H19" s="333">
        <v>0</v>
      </c>
      <c r="I19" s="332">
        <f>I8*12</f>
        <v>140263000</v>
      </c>
      <c r="J19" s="249">
        <f>SUM(H8+H9+H10+H11+H12+H13+H14+H15+H16+H17+H18+H19)-I19</f>
        <v>-95146134.840000004</v>
      </c>
      <c r="K19" s="334">
        <v>0</v>
      </c>
      <c r="L19" s="332">
        <f>L8*12</f>
        <v>394474000</v>
      </c>
      <c r="M19" s="249">
        <f>SUM(K8+K9+K10+K11+K12+K13+K14+K15+K16+K17+K18+K19)-L19</f>
        <v>-234036445.77999997</v>
      </c>
    </row>
    <row r="20" spans="1:13" ht="15.95" customHeight="1" thickBot="1" x14ac:dyDescent="0.25">
      <c r="A20" s="257" t="s">
        <v>19</v>
      </c>
      <c r="B20" s="345">
        <f>SUM(B8:B19)</f>
        <v>813633969.8900001</v>
      </c>
      <c r="C20" s="258">
        <v>1898972000</v>
      </c>
      <c r="D20" s="259"/>
      <c r="E20" s="345">
        <f>SUM(E8:E19)</f>
        <v>55493499.520000003</v>
      </c>
      <c r="F20" s="258">
        <v>125710000</v>
      </c>
      <c r="G20" s="260"/>
      <c r="H20" s="345">
        <f>SUM(H8:H19)</f>
        <v>45116865.159999996</v>
      </c>
      <c r="I20" s="258">
        <v>140263000</v>
      </c>
      <c r="J20" s="260"/>
      <c r="K20" s="345">
        <f>SUM(K8:K19)</f>
        <v>160437554.22000003</v>
      </c>
      <c r="L20" s="258">
        <v>394474000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67" t="s">
        <v>2</v>
      </c>
      <c r="B24" s="688" t="s">
        <v>214</v>
      </c>
      <c r="C24" s="689"/>
      <c r="D24" s="690"/>
      <c r="E24" s="694" t="s">
        <v>213</v>
      </c>
      <c r="F24" s="689"/>
      <c r="G24" s="690"/>
      <c r="H24" s="695" t="s">
        <v>22</v>
      </c>
      <c r="I24" s="689"/>
      <c r="J24" s="690"/>
      <c r="K24" s="370"/>
    </row>
    <row r="25" spans="1:13" ht="14.45" customHeight="1" thickBot="1" x14ac:dyDescent="0.25">
      <c r="A25" s="596"/>
      <c r="B25" s="691"/>
      <c r="C25" s="692"/>
      <c r="D25" s="693"/>
      <c r="E25" s="691"/>
      <c r="F25" s="692"/>
      <c r="G25" s="693"/>
      <c r="H25" s="691"/>
      <c r="I25" s="692"/>
      <c r="J25" s="693"/>
      <c r="K25" s="370"/>
    </row>
    <row r="26" spans="1:13" ht="14.45" customHeight="1" x14ac:dyDescent="0.2">
      <c r="A26" s="596"/>
      <c r="B26" s="563" t="s">
        <v>24</v>
      </c>
      <c r="C26" s="557" t="s">
        <v>31</v>
      </c>
      <c r="D26" s="559" t="s">
        <v>32</v>
      </c>
      <c r="E26" s="563" t="s">
        <v>25</v>
      </c>
      <c r="F26" s="557" t="s">
        <v>31</v>
      </c>
      <c r="G26" s="559" t="s">
        <v>32</v>
      </c>
      <c r="H26" s="566" t="s">
        <v>19</v>
      </c>
      <c r="I26" s="557" t="s">
        <v>31</v>
      </c>
      <c r="J26" s="559" t="s">
        <v>32</v>
      </c>
      <c r="K26" s="553" t="s">
        <v>116</v>
      </c>
    </row>
    <row r="27" spans="1:13" ht="14.45" customHeight="1" thickBot="1" x14ac:dyDescent="0.25">
      <c r="A27" s="597"/>
      <c r="B27" s="655"/>
      <c r="C27" s="635"/>
      <c r="D27" s="634"/>
      <c r="E27" s="655"/>
      <c r="F27" s="654"/>
      <c r="G27" s="634"/>
      <c r="H27" s="636"/>
      <c r="I27" s="635"/>
      <c r="J27" s="634"/>
      <c r="K27" s="653"/>
    </row>
    <row r="28" spans="1:13" ht="15.95" customHeight="1" x14ac:dyDescent="0.2">
      <c r="A28" s="261" t="s">
        <v>7</v>
      </c>
      <c r="B28" s="262">
        <f>45063409.89+8992410.77</f>
        <v>54055820.659999996</v>
      </c>
      <c r="C28" s="248">
        <f>C40/12</f>
        <v>223966833.33333334</v>
      </c>
      <c r="D28" s="251">
        <f>B28-C28</f>
        <v>-169911012.67333335</v>
      </c>
      <c r="E28" s="263">
        <f>411359782.08+33104290.21</f>
        <v>444464072.28999996</v>
      </c>
      <c r="F28" s="264">
        <f>F40/12</f>
        <v>442753666.66666669</v>
      </c>
      <c r="G28" s="265">
        <f>E28-F28</f>
        <v>1710405.6233332753</v>
      </c>
      <c r="H28" s="266">
        <f t="shared" ref="H28:H40" si="0">$B8+$E8+$H8+$K8+$B28+$E28</f>
        <v>717989634.18999994</v>
      </c>
      <c r="I28" s="264">
        <f>I40/12</f>
        <v>880005416.66666663</v>
      </c>
      <c r="J28" s="267">
        <f>H28-I28</f>
        <v>-162015782.47666669</v>
      </c>
      <c r="K28" s="268">
        <f>J28/I40</f>
        <v>-1.5342309207061386E-2</v>
      </c>
    </row>
    <row r="29" spans="1:13" ht="15.95" customHeight="1" x14ac:dyDescent="0.2">
      <c r="A29" s="269" t="s">
        <v>8</v>
      </c>
      <c r="B29" s="270">
        <f>10072410.5+6793752.3</f>
        <v>16866162.800000001</v>
      </c>
      <c r="C29" s="253">
        <f>C28*2</f>
        <v>447933666.66666669</v>
      </c>
      <c r="D29" s="249">
        <f>SUM(B28+B29)-C29</f>
        <v>-377011683.20666671</v>
      </c>
      <c r="E29" s="271">
        <f>512247548.73+23061238.01</f>
        <v>535308786.74000001</v>
      </c>
      <c r="F29" s="254">
        <f>F28*2</f>
        <v>885507333.33333337</v>
      </c>
      <c r="G29" s="249">
        <f>SUM(E28+E29)-F29</f>
        <v>94265525.696666598</v>
      </c>
      <c r="H29" s="256">
        <f t="shared" si="0"/>
        <v>755389680.31000006</v>
      </c>
      <c r="I29" s="254">
        <f>I28*2</f>
        <v>1760010833.3333333</v>
      </c>
      <c r="J29" s="249">
        <f>SUM(H28+H29)-I29</f>
        <v>-286631518.83333325</v>
      </c>
      <c r="K29" s="272">
        <f>J29/I40</f>
        <v>-2.7142969179956112E-2</v>
      </c>
    </row>
    <row r="30" spans="1:13" ht="15.95" customHeight="1" x14ac:dyDescent="0.2">
      <c r="A30" s="269" t="s">
        <v>9</v>
      </c>
      <c r="B30" s="273">
        <f>13313754.76+327434761.32</f>
        <v>340748516.07999998</v>
      </c>
      <c r="C30" s="254">
        <f>C28*3</f>
        <v>671900500</v>
      </c>
      <c r="D30" s="249">
        <f>SUM(B28+B29+B30)-C30</f>
        <v>-260230000.46000004</v>
      </c>
      <c r="E30" s="271">
        <f>290916988.15+20712375.15</f>
        <v>311629363.29999995</v>
      </c>
      <c r="F30" s="254">
        <f>F28*3</f>
        <v>1328261000</v>
      </c>
      <c r="G30" s="249">
        <f>SUM(E28+E29+E30)-F30</f>
        <v>-36858777.670000076</v>
      </c>
      <c r="H30" s="255">
        <f t="shared" si="0"/>
        <v>853604256</v>
      </c>
      <c r="I30" s="254">
        <f>I28*3</f>
        <v>2640016250</v>
      </c>
      <c r="J30" s="249">
        <f>SUM(H28+H29+H30)-I30</f>
        <v>-313032679.5</v>
      </c>
      <c r="K30" s="272">
        <f>J30/I40</f>
        <v>-2.964306370273289E-2</v>
      </c>
    </row>
    <row r="31" spans="1:13" ht="15.95" customHeight="1" x14ac:dyDescent="0.2">
      <c r="A31" s="269" t="s">
        <v>10</v>
      </c>
      <c r="B31" s="270">
        <f>186085380.51+15153078.14</f>
        <v>201238458.64999998</v>
      </c>
      <c r="C31" s="253">
        <f>C28*4</f>
        <v>895867333.33333337</v>
      </c>
      <c r="D31" s="249">
        <f>SUM(B28+B29+B30+B31)-C31</f>
        <v>-282958375.14333344</v>
      </c>
      <c r="E31" s="274">
        <f>328546593.43+28342697.95</f>
        <v>356889291.38</v>
      </c>
      <c r="F31" s="253">
        <f>F28*4</f>
        <v>1771014666.6666667</v>
      </c>
      <c r="G31" s="249">
        <f>SUM(E28+E29+E30+E31)-F31</f>
        <v>-122723152.95666671</v>
      </c>
      <c r="H31" s="255">
        <f t="shared" si="0"/>
        <v>725947308.38999999</v>
      </c>
      <c r="I31" s="253">
        <f>I28*4</f>
        <v>3520021666.6666665</v>
      </c>
      <c r="J31" s="249">
        <f>SUM(H28+H29+H30+H31)-I31</f>
        <v>-467090787.77666664</v>
      </c>
      <c r="K31" s="272">
        <f>J31/I40</f>
        <v>-4.4231809915627092E-2</v>
      </c>
    </row>
    <row r="32" spans="1:13" ht="15.95" customHeight="1" x14ac:dyDescent="0.2">
      <c r="A32" s="269" t="s">
        <v>11</v>
      </c>
      <c r="B32" s="273">
        <f>37941136.41+30225734.82</f>
        <v>68166871.229999989</v>
      </c>
      <c r="C32" s="253">
        <f>C28*5</f>
        <v>1119834166.6666667</v>
      </c>
      <c r="D32" s="249">
        <f>SUM(B28+B29+B30+B31+B32)-C32</f>
        <v>-438758337.24666679</v>
      </c>
      <c r="E32" s="274">
        <f>478875665.39+24577907.24</f>
        <v>503453572.63</v>
      </c>
      <c r="F32" s="253">
        <f>F28*5</f>
        <v>2213768333.3333335</v>
      </c>
      <c r="G32" s="249">
        <f>SUM(E28+E29+E30+E31+E32)-F32</f>
        <v>-62023246.99333334</v>
      </c>
      <c r="H32" s="255">
        <f t="shared" si="0"/>
        <v>760470575.45000005</v>
      </c>
      <c r="I32" s="253">
        <f>I28*5</f>
        <v>4400027083.333333</v>
      </c>
      <c r="J32" s="249">
        <f>SUM(H28+H29+H30+H31+H32)-I32</f>
        <v>-586625628.99333286</v>
      </c>
      <c r="K32" s="272">
        <f>J32/I40</f>
        <v>-5.5551327476993075E-2</v>
      </c>
    </row>
    <row r="33" spans="1:13" ht="15.95" customHeight="1" x14ac:dyDescent="0.2">
      <c r="A33" s="499" t="s">
        <v>12</v>
      </c>
      <c r="B33" s="500">
        <f>1188614.11</f>
        <v>1188614.1100000001</v>
      </c>
      <c r="C33" s="497">
        <f>C28*6</f>
        <v>1343801000</v>
      </c>
      <c r="D33" s="494">
        <f>SUM(B28+B29+B30+B31+B32+B33)-C33</f>
        <v>-661536556.47000003</v>
      </c>
      <c r="E33" s="501">
        <v>390022710.81999999</v>
      </c>
      <c r="F33" s="497">
        <f>F28*6</f>
        <v>2656522000</v>
      </c>
      <c r="G33" s="494">
        <f>SUM(E28+E29+E30+E31+E32+E33)-F33</f>
        <v>-114754202.83999968</v>
      </c>
      <c r="H33" s="255">
        <f t="shared" si="0"/>
        <v>485312675.13999999</v>
      </c>
      <c r="I33" s="497">
        <f>I28*6</f>
        <v>5280032500</v>
      </c>
      <c r="J33" s="494">
        <f>SUM(H28+H29+H30+H31+H32+H33)-I33</f>
        <v>-981318370.5199995</v>
      </c>
      <c r="K33" s="496">
        <f>J33/I40</f>
        <v>-9.2927304000496161E-2</v>
      </c>
    </row>
    <row r="34" spans="1:13" ht="15.95" customHeight="1" x14ac:dyDescent="0.2">
      <c r="A34" s="269" t="s">
        <v>13</v>
      </c>
      <c r="B34" s="273">
        <v>0</v>
      </c>
      <c r="C34" s="253">
        <f>C28*7</f>
        <v>1567767833.3333335</v>
      </c>
      <c r="D34" s="249">
        <f>SUM(B28+B29+B30+B31+B32+B33+B34)-C34</f>
        <v>-885503389.80333352</v>
      </c>
      <c r="E34" s="274">
        <v>0</v>
      </c>
      <c r="F34" s="253">
        <f>F28*7</f>
        <v>3099275666.666667</v>
      </c>
      <c r="G34" s="249">
        <f>SUM(E28+E29+E30+E31+E32+E33+E34)-F34</f>
        <v>-557507869.50666666</v>
      </c>
      <c r="H34" s="255">
        <f t="shared" si="0"/>
        <v>0</v>
      </c>
      <c r="I34" s="253">
        <f>I28*7</f>
        <v>6160037916.666666</v>
      </c>
      <c r="J34" s="249">
        <f>SUM(H28+H29+H30+H31+H32+H33+H34)-I34</f>
        <v>-1861323787.1866655</v>
      </c>
      <c r="K34" s="272">
        <f>J34/I40</f>
        <v>-0.17626063733382943</v>
      </c>
    </row>
    <row r="35" spans="1:13" ht="15.95" customHeight="1" x14ac:dyDescent="0.2">
      <c r="A35" s="269" t="s">
        <v>14</v>
      </c>
      <c r="B35" s="270">
        <v>0</v>
      </c>
      <c r="C35" s="253">
        <f>C28*8</f>
        <v>1791734666.6666667</v>
      </c>
      <c r="D35" s="249">
        <f>SUM(B28+B29+B30+B31+B32+B33+B34+B35)-C35</f>
        <v>-1109470223.1366668</v>
      </c>
      <c r="E35" s="274">
        <v>0</v>
      </c>
      <c r="F35" s="253">
        <f>F28*8</f>
        <v>3542029333.3333335</v>
      </c>
      <c r="G35" s="249">
        <f>SUM(E28+E29+E30+E31+E32+E33+E34+E35)-F35</f>
        <v>-1000261536.1733332</v>
      </c>
      <c r="H35" s="255">
        <f t="shared" si="0"/>
        <v>0</v>
      </c>
      <c r="I35" s="253">
        <f>I28*8</f>
        <v>7040043333.333333</v>
      </c>
      <c r="J35" s="249">
        <f>SUM(H28+H29+H30+H31+H32+H33+H34+H35)-I35</f>
        <v>-2741329203.8533325</v>
      </c>
      <c r="K35" s="272">
        <f>J35/I40</f>
        <v>-0.25959397066716278</v>
      </c>
    </row>
    <row r="36" spans="1:13" ht="15.95" customHeight="1" x14ac:dyDescent="0.2">
      <c r="A36" s="269" t="s">
        <v>15</v>
      </c>
      <c r="B36" s="273">
        <v>0</v>
      </c>
      <c r="C36" s="253">
        <f>C28*9</f>
        <v>2015701500</v>
      </c>
      <c r="D36" s="249">
        <f>SUM(B28+B29+B30+B31+B32+B33+B34+B35+B36)-C36</f>
        <v>-1333437056.47</v>
      </c>
      <c r="E36" s="274">
        <v>0</v>
      </c>
      <c r="F36" s="253">
        <f>F28*9</f>
        <v>3984783000</v>
      </c>
      <c r="G36" s="249">
        <f>SUM(E28+E29+E30+E31+E32+E33+E34+E35+E36)-F36</f>
        <v>-1443015202.8399997</v>
      </c>
      <c r="H36" s="255">
        <f t="shared" si="0"/>
        <v>0</v>
      </c>
      <c r="I36" s="253">
        <f>I28*9</f>
        <v>7920048750</v>
      </c>
      <c r="J36" s="249">
        <f>SUM(H28+H29+H30+H31+H32+H33+H34+H35+H36)-I36</f>
        <v>-3621334620.5199995</v>
      </c>
      <c r="K36" s="272">
        <f>J36/I40</f>
        <v>-0.34292730400049615</v>
      </c>
    </row>
    <row r="37" spans="1:13" ht="15.95" customHeight="1" x14ac:dyDescent="0.2">
      <c r="A37" s="269" t="s">
        <v>16</v>
      </c>
      <c r="B37" s="270">
        <v>0</v>
      </c>
      <c r="C37" s="253">
        <f>C28*10</f>
        <v>2239668333.3333335</v>
      </c>
      <c r="D37" s="249">
        <f>SUM(B28+B29+B30+B31+B32+B33+B34+B35+B36+B37)-C37</f>
        <v>-1557403889.8033335</v>
      </c>
      <c r="E37" s="274">
        <v>0</v>
      </c>
      <c r="F37" s="253">
        <f>F28*10</f>
        <v>4427536666.666667</v>
      </c>
      <c r="G37" s="249">
        <f>SUM(E28+E29+E30+E31+E32+E33+E34+E35+E36+E37)-F37</f>
        <v>-1885768869.5066667</v>
      </c>
      <c r="H37" s="255">
        <f t="shared" si="0"/>
        <v>0</v>
      </c>
      <c r="I37" s="253">
        <f>I28*10</f>
        <v>8800054166.666666</v>
      </c>
      <c r="J37" s="249">
        <f>SUM(H28+H29+H30+H31+H32+H33+H34+H35+H36+H37)-I37</f>
        <v>-4501340037.1866655</v>
      </c>
      <c r="K37" s="272">
        <f>J37/I40</f>
        <v>-0.42626063733382946</v>
      </c>
    </row>
    <row r="38" spans="1:13" ht="15.95" customHeight="1" x14ac:dyDescent="0.2">
      <c r="A38" s="269" t="s">
        <v>17</v>
      </c>
      <c r="B38" s="270">
        <v>0</v>
      </c>
      <c r="C38" s="253">
        <f>C28*11</f>
        <v>2463635166.666667</v>
      </c>
      <c r="D38" s="249">
        <f>SUM(B28+B29+B30+B31+B32+B33+B34+B35+B36+B37+B38)-C38</f>
        <v>-1781370723.136667</v>
      </c>
      <c r="E38" s="274">
        <v>0</v>
      </c>
      <c r="F38" s="253">
        <f>F28*11</f>
        <v>4870290333.333334</v>
      </c>
      <c r="G38" s="249">
        <f>SUM(E28+E29+E30+E31+E32+E33+E34+E35+E36+E37+E38)-F38</f>
        <v>-2328522536.1733336</v>
      </c>
      <c r="H38" s="255">
        <f t="shared" si="0"/>
        <v>0</v>
      </c>
      <c r="I38" s="253">
        <f>I28*11</f>
        <v>9680059583.3333321</v>
      </c>
      <c r="J38" s="249">
        <f>SUM(H28+H29+H30+H31+H32+H33+H34+H35+H36+H37+H38)-I38</f>
        <v>-5381345453.8533316</v>
      </c>
      <c r="K38" s="272">
        <f>J38/I40</f>
        <v>-0.50959397066716272</v>
      </c>
    </row>
    <row r="39" spans="1:13" ht="15.95" customHeight="1" thickBot="1" x14ac:dyDescent="0.25">
      <c r="A39" s="340" t="s">
        <v>18</v>
      </c>
      <c r="B39" s="335">
        <v>0</v>
      </c>
      <c r="C39" s="332">
        <f>C28*12</f>
        <v>2687602000</v>
      </c>
      <c r="D39" s="410">
        <f>SUM(B28+B29+B30+B31+B32+B33+B34+B35+B36+B37+B38+B39)-C39</f>
        <v>-2005337556.47</v>
      </c>
      <c r="E39" s="337">
        <v>0</v>
      </c>
      <c r="F39" s="332">
        <f>F28*12</f>
        <v>5313044000</v>
      </c>
      <c r="G39" s="249">
        <f>SUM(E28+E29+E30+E31+E32+E33+E34+E35+E36+E37+E38+E39)-F39</f>
        <v>-2771276202.8399997</v>
      </c>
      <c r="H39" s="275">
        <f t="shared" si="0"/>
        <v>0</v>
      </c>
      <c r="I39" s="338">
        <f>I28*12</f>
        <v>10560065000</v>
      </c>
      <c r="J39" s="411">
        <f>SUM(H28+H29+H30+H31+H32+H33+H34+H35+H36+H37+H38+H39)-I39</f>
        <v>-6261350870.5199995</v>
      </c>
      <c r="K39" s="272">
        <f>J39/I40</f>
        <v>-0.5929273040004962</v>
      </c>
    </row>
    <row r="40" spans="1:13" ht="15.95" customHeight="1" thickBot="1" x14ac:dyDescent="0.25">
      <c r="A40" s="257" t="s">
        <v>19</v>
      </c>
      <c r="B40" s="347">
        <f>SUM(B28:B39)</f>
        <v>682264443.52999997</v>
      </c>
      <c r="C40" s="276">
        <v>2687602000</v>
      </c>
      <c r="D40" s="277"/>
      <c r="E40" s="345">
        <f>SUM(E28:E39)</f>
        <v>2541767797.1600003</v>
      </c>
      <c r="F40" s="258">
        <v>5313044000</v>
      </c>
      <c r="G40" s="278"/>
      <c r="H40" s="351">
        <f t="shared" si="0"/>
        <v>4298714129.4800005</v>
      </c>
      <c r="I40" s="279">
        <f>C20+F20+I20+L20+C40+F40</f>
        <v>10560065000</v>
      </c>
      <c r="J40" s="280"/>
      <c r="K40" s="350"/>
    </row>
    <row r="41" spans="1:13" x14ac:dyDescent="0.2">
      <c r="A41" s="659"/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42:M42"/>
    <mergeCell ref="E26:E27"/>
    <mergeCell ref="F26:F27"/>
    <mergeCell ref="G26:G27"/>
    <mergeCell ref="H26:H27"/>
    <mergeCell ref="I26:I27"/>
    <mergeCell ref="J26:J2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03CB0-FDA7-4A75-80D6-6FFFE50C8D81}">
  <sheetPr>
    <tabColor theme="5" tint="-0.499984740745262"/>
  </sheetPr>
  <dimension ref="A1:S61"/>
  <sheetViews>
    <sheetView showGridLines="0" showRuler="0" view="pageBreakPreview" zoomScale="160" zoomScaleNormal="160" zoomScaleSheetLayoutView="160" zoomScalePageLayoutView="160" workbookViewId="0">
      <selection activeCell="A40" sqref="A4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679" t="s">
        <v>215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451"/>
      <c r="Q1" s="451"/>
      <c r="R1" s="452"/>
      <c r="S1" s="452"/>
    </row>
    <row r="2" spans="1:19" ht="20.25" x14ac:dyDescent="0.25">
      <c r="A2" s="681" t="s">
        <v>230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/>
      <c r="Q2"/>
      <c r="R2"/>
      <c r="S2"/>
    </row>
    <row r="3" spans="1:19" ht="12.75" customHeight="1" x14ac:dyDescent="0.25">
      <c r="A3" s="59"/>
    </row>
    <row r="37" spans="1:19" ht="14.1" customHeight="1" x14ac:dyDescent="0.2">
      <c r="I37" s="719" t="s">
        <v>35</v>
      </c>
      <c r="J37" s="720"/>
      <c r="K37" s="720"/>
      <c r="L37" s="720"/>
      <c r="M37" s="720"/>
      <c r="N37" s="720"/>
      <c r="O37" s="720"/>
    </row>
    <row r="38" spans="1:19" ht="28.5" x14ac:dyDescent="0.45">
      <c r="A38" s="679" t="s">
        <v>216</v>
      </c>
      <c r="B38" s="680"/>
      <c r="C38" s="680"/>
      <c r="D38" s="680"/>
      <c r="E38" s="680"/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452"/>
      <c r="Q38" s="452"/>
      <c r="R38" s="452"/>
      <c r="S38" s="452"/>
    </row>
    <row r="39" spans="1:19" ht="20.25" x14ac:dyDescent="0.25">
      <c r="A39" s="681" t="s">
        <v>230</v>
      </c>
      <c r="B39" s="680"/>
      <c r="C39" s="680"/>
      <c r="D39" s="680"/>
      <c r="E39" s="680"/>
      <c r="F39" s="680"/>
      <c r="G39" s="680"/>
      <c r="H39" s="680"/>
      <c r="I39" s="680"/>
      <c r="J39" s="680"/>
      <c r="K39" s="680"/>
      <c r="L39" s="680"/>
      <c r="M39" s="680"/>
      <c r="N39" s="680"/>
      <c r="O39" s="680"/>
      <c r="P39"/>
      <c r="Q39"/>
      <c r="R39"/>
      <c r="S39"/>
    </row>
    <row r="61" spans="11:19" x14ac:dyDescent="0.2">
      <c r="K61" s="632"/>
      <c r="L61" s="633"/>
      <c r="M61" s="633"/>
      <c r="N61" s="633"/>
      <c r="O61" s="633"/>
      <c r="P61" s="633"/>
      <c r="Q61" s="633"/>
      <c r="R61" s="633"/>
      <c r="S61" s="633"/>
    </row>
  </sheetData>
  <mergeCells count="6">
    <mergeCell ref="K61:S61"/>
    <mergeCell ref="A1:O1"/>
    <mergeCell ref="A2:O2"/>
    <mergeCell ref="I37:O37"/>
    <mergeCell ref="A38:O38"/>
    <mergeCell ref="A39:O39"/>
  </mergeCells>
  <printOptions horizontalCentered="1"/>
  <pageMargins left="0.51181102362204722" right="0.51181102362204722" top="0.51181102362204722" bottom="0.51181102362204722" header="0.51181102362204722" footer="0.51181102362204722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0E348-E7F4-4EBD-9AFC-762A6F5F1C2C}">
  <sheetPr>
    <tabColor theme="5" tint="-0.499984740745262"/>
    <pageSetUpPr fitToPage="1"/>
  </sheetPr>
  <dimension ref="A1:N48"/>
  <sheetViews>
    <sheetView showGridLines="0" zoomScale="140" zoomScaleNormal="140" zoomScaleSheetLayoutView="140" workbookViewId="0">
      <selection activeCell="E34" sqref="E34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85" t="s">
        <v>229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20.25" x14ac:dyDescent="0.3">
      <c r="A2" s="638" t="s">
        <v>230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67" t="s">
        <v>2</v>
      </c>
      <c r="B4" s="694" t="s">
        <v>210</v>
      </c>
      <c r="C4" s="696"/>
      <c r="D4" s="697"/>
      <c r="E4" s="701" t="s">
        <v>159</v>
      </c>
      <c r="F4" s="696"/>
      <c r="G4" s="697"/>
      <c r="H4" s="694" t="s">
        <v>211</v>
      </c>
      <c r="I4" s="696"/>
      <c r="J4" s="697"/>
      <c r="K4" s="688" t="s">
        <v>212</v>
      </c>
      <c r="L4" s="696"/>
      <c r="M4" s="697"/>
      <c r="N4" s="73"/>
    </row>
    <row r="5" spans="1:14" ht="14.45" customHeight="1" thickBot="1" x14ac:dyDescent="0.25">
      <c r="A5" s="645"/>
      <c r="B5" s="698"/>
      <c r="C5" s="699"/>
      <c r="D5" s="700"/>
      <c r="E5" s="698"/>
      <c r="F5" s="699"/>
      <c r="G5" s="700"/>
      <c r="H5" s="698"/>
      <c r="I5" s="699"/>
      <c r="J5" s="700"/>
      <c r="K5" s="698"/>
      <c r="L5" s="699"/>
      <c r="M5" s="700"/>
      <c r="N5" s="71"/>
    </row>
    <row r="6" spans="1:14" ht="14.45" customHeight="1" x14ac:dyDescent="0.2">
      <c r="A6" s="645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84" t="s">
        <v>6</v>
      </c>
      <c r="I6" s="557" t="s">
        <v>31</v>
      </c>
      <c r="J6" s="559" t="s">
        <v>32</v>
      </c>
      <c r="K6" s="584" t="s">
        <v>23</v>
      </c>
      <c r="L6" s="557" t="s">
        <v>31</v>
      </c>
      <c r="M6" s="559" t="s">
        <v>32</v>
      </c>
    </row>
    <row r="7" spans="1:14" ht="14.45" customHeight="1" thickBot="1" x14ac:dyDescent="0.25">
      <c r="A7" s="646"/>
      <c r="B7" s="636"/>
      <c r="C7" s="635"/>
      <c r="D7" s="634"/>
      <c r="E7" s="636"/>
      <c r="F7" s="635"/>
      <c r="G7" s="634"/>
      <c r="H7" s="636"/>
      <c r="I7" s="635"/>
      <c r="J7" s="634"/>
      <c r="K7" s="636"/>
      <c r="L7" s="635"/>
      <c r="M7" s="634"/>
    </row>
    <row r="8" spans="1:14" ht="15.95" customHeight="1" x14ac:dyDescent="0.2">
      <c r="A8" s="245" t="s">
        <v>7</v>
      </c>
      <c r="B8" s="247">
        <f>67099402.63+104493856.7</f>
        <v>171593259.33000001</v>
      </c>
      <c r="C8" s="248">
        <f>C20/12</f>
        <v>158247666.66666666</v>
      </c>
      <c r="D8" s="249">
        <f>B8-C8</f>
        <v>13345592.663333356</v>
      </c>
      <c r="E8" s="250">
        <f>4448097.03+7144921.7</f>
        <v>11593018.73</v>
      </c>
      <c r="F8" s="248">
        <f>F20/12</f>
        <v>10475833.333333334</v>
      </c>
      <c r="G8" s="249">
        <f>E8-F8</f>
        <v>1117185.3966666665</v>
      </c>
      <c r="H8" s="250">
        <f>6030166.8+1848145.17</f>
        <v>7878311.9699999997</v>
      </c>
      <c r="I8" s="248">
        <f>I20/12</f>
        <v>11688583.333333334</v>
      </c>
      <c r="J8" s="251">
        <f>H8-I8</f>
        <v>-3810271.3633333342</v>
      </c>
      <c r="K8" s="250">
        <f>21200281.41+7204869.8</f>
        <v>28405151.210000001</v>
      </c>
      <c r="L8" s="248">
        <f>L20/12</f>
        <v>32872833.333333332</v>
      </c>
      <c r="M8" s="251">
        <f>K8-L8</f>
        <v>-4467682.1233333312</v>
      </c>
    </row>
    <row r="9" spans="1:14" ht="15.95" customHeight="1" x14ac:dyDescent="0.2">
      <c r="A9" s="246" t="s">
        <v>8</v>
      </c>
      <c r="B9" s="252">
        <f>69028936.18+84106026.53+B8</f>
        <v>324728222.04000002</v>
      </c>
      <c r="C9" s="253">
        <f>C8*2</f>
        <v>316495333.33333331</v>
      </c>
      <c r="D9" s="249">
        <f>B9-C9</f>
        <v>8232888.706666708</v>
      </c>
      <c r="E9" s="247">
        <f>4719955.35+5750873.64+E8</f>
        <v>22063847.719999999</v>
      </c>
      <c r="F9" s="253">
        <f>F8*2</f>
        <v>20951666.666666668</v>
      </c>
      <c r="G9" s="249">
        <f t="shared" ref="G9:G19" si="0">E9-F9</f>
        <v>1112181.0533333309</v>
      </c>
      <c r="H9" s="247">
        <f>3076821.45+3335344.52+H8</f>
        <v>14290477.940000001</v>
      </c>
      <c r="I9" s="253">
        <f>I8*2</f>
        <v>23377166.666666668</v>
      </c>
      <c r="J9" s="249">
        <f t="shared" ref="J9:J19" si="1">H9-I9</f>
        <v>-9086688.7266666666</v>
      </c>
      <c r="K9" s="252">
        <f>26591550.62+6605222.48+K8</f>
        <v>61601924.310000002</v>
      </c>
      <c r="L9" s="253">
        <f>L8*2</f>
        <v>65745666.666666664</v>
      </c>
      <c r="M9" s="249">
        <f t="shared" ref="M9:M19" si="2">K9-L9</f>
        <v>-4143742.3566666618</v>
      </c>
    </row>
    <row r="10" spans="1:14" ht="15.95" customHeight="1" x14ac:dyDescent="0.2">
      <c r="A10" s="246" t="s">
        <v>9</v>
      </c>
      <c r="B10" s="252">
        <f>63787395.22+71854014.53+B9</f>
        <v>460369631.79000002</v>
      </c>
      <c r="C10" s="253">
        <f>C8*3</f>
        <v>474743000</v>
      </c>
      <c r="D10" s="249">
        <f>B10-C10</f>
        <v>-14373368.209999979</v>
      </c>
      <c r="E10" s="247">
        <f>4361557.25+4913124.25+E9</f>
        <v>31338529.219999999</v>
      </c>
      <c r="F10" s="254">
        <f>F8*3</f>
        <v>31427500</v>
      </c>
      <c r="G10" s="249">
        <f t="shared" si="0"/>
        <v>-88970.780000001192</v>
      </c>
      <c r="H10" s="247">
        <f>5990012.77+24836374.45+H9</f>
        <v>45116865.159999996</v>
      </c>
      <c r="I10" s="254">
        <f>I8*3</f>
        <v>35065750</v>
      </c>
      <c r="J10" s="249">
        <f t="shared" si="1"/>
        <v>10051115.159999996</v>
      </c>
      <c r="K10" s="252">
        <f>17238095.7+8245802.45+K9</f>
        <v>87085822.460000008</v>
      </c>
      <c r="L10" s="254">
        <f>L8*3</f>
        <v>98618500</v>
      </c>
      <c r="M10" s="249">
        <f t="shared" si="2"/>
        <v>-11532677.539999992</v>
      </c>
    </row>
    <row r="11" spans="1:14" ht="15.95" customHeight="1" x14ac:dyDescent="0.2">
      <c r="A11" s="246" t="s">
        <v>10</v>
      </c>
      <c r="B11" s="252">
        <f>50422050.74+80592098.88+B10</f>
        <v>591383781.41000009</v>
      </c>
      <c r="C11" s="253">
        <f>C8*4</f>
        <v>632990666.66666663</v>
      </c>
      <c r="D11" s="249">
        <f t="shared" ref="D11:D19" si="3">B11-C11</f>
        <v>-41606885.256666541</v>
      </c>
      <c r="E11" s="247">
        <f>3447682.11+5510603.67+E10</f>
        <v>40296815</v>
      </c>
      <c r="F11" s="253">
        <f>F8*4</f>
        <v>41903333.333333336</v>
      </c>
      <c r="G11" s="249">
        <f t="shared" si="0"/>
        <v>-1606518.3333333358</v>
      </c>
      <c r="H11" s="247">
        <f t="shared" ref="H11:H19" si="4">0+H10</f>
        <v>45116865.159999996</v>
      </c>
      <c r="I11" s="253">
        <f>I8*4</f>
        <v>46754333.333333336</v>
      </c>
      <c r="J11" s="249">
        <f t="shared" si="1"/>
        <v>-1637468.1733333394</v>
      </c>
      <c r="K11" s="252">
        <f>17627316.24+10219806.72+K10</f>
        <v>114932945.42000002</v>
      </c>
      <c r="L11" s="253">
        <f>L8*4</f>
        <v>131491333.33333333</v>
      </c>
      <c r="M11" s="249">
        <f t="shared" si="2"/>
        <v>-16558387.913333312</v>
      </c>
    </row>
    <row r="12" spans="1:14" ht="15.95" customHeight="1" x14ac:dyDescent="0.2">
      <c r="A12" s="246" t="s">
        <v>11</v>
      </c>
      <c r="B12" s="252">
        <f>48673478.43+102089033.25+B11</f>
        <v>742146293.09000015</v>
      </c>
      <c r="C12" s="253">
        <f>C8*5</f>
        <v>791238333.33333325</v>
      </c>
      <c r="D12" s="249">
        <f t="shared" si="3"/>
        <v>-49092040.243333101</v>
      </c>
      <c r="E12" s="247">
        <f>3328120.88+6980488.26+E11</f>
        <v>50605424.140000001</v>
      </c>
      <c r="F12" s="253">
        <f>F8*5</f>
        <v>52379166.666666672</v>
      </c>
      <c r="G12" s="249">
        <f t="shared" si="0"/>
        <v>-1773742.526666671</v>
      </c>
      <c r="H12" s="247">
        <f t="shared" si="4"/>
        <v>45116865.159999996</v>
      </c>
      <c r="I12" s="253">
        <f>I8*5</f>
        <v>58442916.666666672</v>
      </c>
      <c r="J12" s="249">
        <f t="shared" si="1"/>
        <v>-13326051.506666675</v>
      </c>
      <c r="K12" s="252">
        <f>18948787.2+8830223.57+K11</f>
        <v>142711956.19000003</v>
      </c>
      <c r="L12" s="253">
        <f>L8*5</f>
        <v>164364166.66666666</v>
      </c>
      <c r="M12" s="249">
        <f>K12-L12</f>
        <v>-21652210.476666629</v>
      </c>
    </row>
    <row r="13" spans="1:14" ht="15.95" customHeight="1" x14ac:dyDescent="0.2">
      <c r="A13" s="498" t="s">
        <v>12</v>
      </c>
      <c r="B13" s="255">
        <f>71487676.8+B12</f>
        <v>813633969.8900001</v>
      </c>
      <c r="C13" s="497">
        <f>C8*6</f>
        <v>949486000</v>
      </c>
      <c r="D13" s="494">
        <f t="shared" si="3"/>
        <v>-135852030.1099999</v>
      </c>
      <c r="E13" s="256">
        <f>4888075.38+E12</f>
        <v>55493499.520000003</v>
      </c>
      <c r="F13" s="497">
        <f>F8*6</f>
        <v>62855000</v>
      </c>
      <c r="G13" s="494">
        <f t="shared" si="0"/>
        <v>-7361500.4799999967</v>
      </c>
      <c r="H13" s="256">
        <f t="shared" si="4"/>
        <v>45116865.159999996</v>
      </c>
      <c r="I13" s="497">
        <f>I8*6</f>
        <v>70131500</v>
      </c>
      <c r="J13" s="494">
        <f t="shared" si="1"/>
        <v>-25014634.840000004</v>
      </c>
      <c r="K13" s="255">
        <f>17725598.03+K12</f>
        <v>160437554.22000003</v>
      </c>
      <c r="L13" s="497">
        <f>L8*6</f>
        <v>197237000</v>
      </c>
      <c r="M13" s="494">
        <f t="shared" si="2"/>
        <v>-36799445.779999971</v>
      </c>
    </row>
    <row r="14" spans="1:14" ht="15.95" customHeight="1" x14ac:dyDescent="0.2">
      <c r="A14" s="246" t="s">
        <v>13</v>
      </c>
      <c r="B14" s="252">
        <f t="shared" ref="B13:B19" si="5">0+B13</f>
        <v>813633969.8900001</v>
      </c>
      <c r="C14" s="253">
        <f>C8*7</f>
        <v>1107733666.6666665</v>
      </c>
      <c r="D14" s="249">
        <f t="shared" si="3"/>
        <v>-294099696.7766664</v>
      </c>
      <c r="E14" s="247">
        <f t="shared" ref="E13:E19" si="6">0+E13</f>
        <v>55493499.520000003</v>
      </c>
      <c r="F14" s="253">
        <f>F8*7</f>
        <v>73330833.333333343</v>
      </c>
      <c r="G14" s="249">
        <f t="shared" si="0"/>
        <v>-17837333.81333334</v>
      </c>
      <c r="H14" s="247">
        <f t="shared" si="4"/>
        <v>45116865.159999996</v>
      </c>
      <c r="I14" s="253">
        <f>I8*7</f>
        <v>81820083.333333343</v>
      </c>
      <c r="J14" s="249">
        <f t="shared" si="1"/>
        <v>-36703218.173333347</v>
      </c>
      <c r="K14" s="252">
        <f t="shared" ref="K13:K19" si="7">0+K13</f>
        <v>160437554.22000003</v>
      </c>
      <c r="L14" s="253">
        <f>L8*7</f>
        <v>230109833.33333331</v>
      </c>
      <c r="M14" s="249">
        <f t="shared" si="2"/>
        <v>-69672279.113333285</v>
      </c>
    </row>
    <row r="15" spans="1:14" ht="15.95" customHeight="1" x14ac:dyDescent="0.2">
      <c r="A15" s="246" t="s">
        <v>14</v>
      </c>
      <c r="B15" s="252">
        <f t="shared" si="5"/>
        <v>813633969.8900001</v>
      </c>
      <c r="C15" s="253">
        <f>C8*8</f>
        <v>1265981333.3333333</v>
      </c>
      <c r="D15" s="249">
        <f t="shared" si="3"/>
        <v>-452347363.44333315</v>
      </c>
      <c r="E15" s="247">
        <f t="shared" si="6"/>
        <v>55493499.520000003</v>
      </c>
      <c r="F15" s="253">
        <f>F8*8</f>
        <v>83806666.666666672</v>
      </c>
      <c r="G15" s="249">
        <f t="shared" si="0"/>
        <v>-28313167.146666668</v>
      </c>
      <c r="H15" s="247">
        <f t="shared" si="4"/>
        <v>45116865.159999996</v>
      </c>
      <c r="I15" s="253">
        <f>I8*8</f>
        <v>93508666.666666672</v>
      </c>
      <c r="J15" s="249">
        <f t="shared" si="1"/>
        <v>-48391801.506666675</v>
      </c>
      <c r="K15" s="252">
        <f t="shared" si="7"/>
        <v>160437554.22000003</v>
      </c>
      <c r="L15" s="253">
        <f>L8*8</f>
        <v>262982666.66666666</v>
      </c>
      <c r="M15" s="249">
        <f t="shared" si="2"/>
        <v>-102545112.44666663</v>
      </c>
    </row>
    <row r="16" spans="1:14" ht="15.95" customHeight="1" x14ac:dyDescent="0.2">
      <c r="A16" s="246" t="s">
        <v>15</v>
      </c>
      <c r="B16" s="252">
        <f t="shared" si="5"/>
        <v>813633969.8900001</v>
      </c>
      <c r="C16" s="253">
        <f>C8*9</f>
        <v>1424229000</v>
      </c>
      <c r="D16" s="249">
        <f t="shared" si="3"/>
        <v>-610595030.1099999</v>
      </c>
      <c r="E16" s="247">
        <f t="shared" si="6"/>
        <v>55493499.520000003</v>
      </c>
      <c r="F16" s="253">
        <f>F8*9</f>
        <v>94282500</v>
      </c>
      <c r="G16" s="249">
        <f t="shared" si="0"/>
        <v>-38789000.479999997</v>
      </c>
      <c r="H16" s="247">
        <f t="shared" si="4"/>
        <v>45116865.159999996</v>
      </c>
      <c r="I16" s="253">
        <f>I8*9</f>
        <v>105197250</v>
      </c>
      <c r="J16" s="249">
        <f t="shared" si="1"/>
        <v>-60080384.840000004</v>
      </c>
      <c r="K16" s="252">
        <f t="shared" si="7"/>
        <v>160437554.22000003</v>
      </c>
      <c r="L16" s="253">
        <f>L8*9</f>
        <v>295855500</v>
      </c>
      <c r="M16" s="249">
        <f t="shared" si="2"/>
        <v>-135417945.77999997</v>
      </c>
    </row>
    <row r="17" spans="1:13" ht="15.95" customHeight="1" x14ac:dyDescent="0.2">
      <c r="A17" s="246" t="s">
        <v>16</v>
      </c>
      <c r="B17" s="252">
        <f t="shared" si="5"/>
        <v>813633969.8900001</v>
      </c>
      <c r="C17" s="253">
        <f>C8*10</f>
        <v>1582476666.6666665</v>
      </c>
      <c r="D17" s="249">
        <f t="shared" si="3"/>
        <v>-768842696.7766664</v>
      </c>
      <c r="E17" s="247">
        <f t="shared" si="6"/>
        <v>55493499.520000003</v>
      </c>
      <c r="F17" s="253">
        <f>F8*10</f>
        <v>104758333.33333334</v>
      </c>
      <c r="G17" s="249">
        <f t="shared" si="0"/>
        <v>-49264833.81333334</v>
      </c>
      <c r="H17" s="247">
        <f t="shared" si="4"/>
        <v>45116865.159999996</v>
      </c>
      <c r="I17" s="253">
        <f>I8*10</f>
        <v>116885833.33333334</v>
      </c>
      <c r="J17" s="249">
        <f t="shared" si="1"/>
        <v>-71768968.173333347</v>
      </c>
      <c r="K17" s="252">
        <f t="shared" si="7"/>
        <v>160437554.22000003</v>
      </c>
      <c r="L17" s="253">
        <f>L8*10</f>
        <v>328728333.33333331</v>
      </c>
      <c r="M17" s="249">
        <f t="shared" si="2"/>
        <v>-168290779.11333328</v>
      </c>
    </row>
    <row r="18" spans="1:13" ht="15.95" customHeight="1" x14ac:dyDescent="0.2">
      <c r="A18" s="246" t="s">
        <v>17</v>
      </c>
      <c r="B18" s="252">
        <f t="shared" si="5"/>
        <v>813633969.8900001</v>
      </c>
      <c r="C18" s="253">
        <f>C8*11</f>
        <v>1740724333.3333333</v>
      </c>
      <c r="D18" s="249">
        <f t="shared" si="3"/>
        <v>-927090363.44333315</v>
      </c>
      <c r="E18" s="247">
        <f t="shared" si="6"/>
        <v>55493499.520000003</v>
      </c>
      <c r="F18" s="253">
        <f>F8*11</f>
        <v>115234166.66666667</v>
      </c>
      <c r="G18" s="249">
        <f t="shared" si="0"/>
        <v>-59740667.146666668</v>
      </c>
      <c r="H18" s="247">
        <f t="shared" si="4"/>
        <v>45116865.159999996</v>
      </c>
      <c r="I18" s="253">
        <f>I8*11</f>
        <v>128574416.66666667</v>
      </c>
      <c r="J18" s="249">
        <f t="shared" si="1"/>
        <v>-83457551.506666675</v>
      </c>
      <c r="K18" s="252">
        <f t="shared" si="7"/>
        <v>160437554.22000003</v>
      </c>
      <c r="L18" s="253">
        <f>L8*11</f>
        <v>361601166.66666663</v>
      </c>
      <c r="M18" s="249">
        <f t="shared" si="2"/>
        <v>-201163612.4466666</v>
      </c>
    </row>
    <row r="19" spans="1:13" ht="15.95" customHeight="1" thickBot="1" x14ac:dyDescent="0.25">
      <c r="A19" s="339" t="s">
        <v>18</v>
      </c>
      <c r="B19" s="252">
        <f t="shared" si="5"/>
        <v>813633969.8900001</v>
      </c>
      <c r="C19" s="332">
        <f>C8*12</f>
        <v>1898972000</v>
      </c>
      <c r="D19" s="249">
        <f t="shared" si="3"/>
        <v>-1085338030.1099999</v>
      </c>
      <c r="E19" s="247">
        <f t="shared" si="6"/>
        <v>55493499.520000003</v>
      </c>
      <c r="F19" s="332">
        <f>F8*12</f>
        <v>125710000</v>
      </c>
      <c r="G19" s="249">
        <f t="shared" si="0"/>
        <v>-70216500.479999989</v>
      </c>
      <c r="H19" s="247">
        <f t="shared" si="4"/>
        <v>45116865.159999996</v>
      </c>
      <c r="I19" s="332">
        <f>I8*12</f>
        <v>140263000</v>
      </c>
      <c r="J19" s="249">
        <f t="shared" si="1"/>
        <v>-95146134.840000004</v>
      </c>
      <c r="K19" s="252">
        <f t="shared" si="7"/>
        <v>160437554.22000003</v>
      </c>
      <c r="L19" s="332">
        <f>L8*12</f>
        <v>394474000</v>
      </c>
      <c r="M19" s="249">
        <f t="shared" si="2"/>
        <v>-234036445.77999997</v>
      </c>
    </row>
    <row r="20" spans="1:13" ht="15.95" customHeight="1" thickBot="1" x14ac:dyDescent="0.25">
      <c r="A20" s="257" t="s">
        <v>19</v>
      </c>
      <c r="B20" s="345">
        <f>B19</f>
        <v>813633969.8900001</v>
      </c>
      <c r="C20" s="258">
        <v>1898972000</v>
      </c>
      <c r="D20" s="259"/>
      <c r="E20" s="345">
        <f>E19</f>
        <v>55493499.520000003</v>
      </c>
      <c r="F20" s="258">
        <v>125710000</v>
      </c>
      <c r="G20" s="260"/>
      <c r="H20" s="345">
        <f>H19</f>
        <v>45116865.159999996</v>
      </c>
      <c r="I20" s="258">
        <v>140263000</v>
      </c>
      <c r="J20" s="260"/>
      <c r="K20" s="345">
        <f>K19</f>
        <v>160437554.22000003</v>
      </c>
      <c r="L20" s="258">
        <v>394474000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67" t="s">
        <v>2</v>
      </c>
      <c r="B24" s="688" t="s">
        <v>214</v>
      </c>
      <c r="C24" s="689"/>
      <c r="D24" s="690"/>
      <c r="E24" s="694" t="s">
        <v>213</v>
      </c>
      <c r="F24" s="689"/>
      <c r="G24" s="690"/>
      <c r="H24" s="695" t="s">
        <v>22</v>
      </c>
      <c r="I24" s="689"/>
      <c r="J24" s="690"/>
      <c r="K24" s="370"/>
    </row>
    <row r="25" spans="1:13" ht="14.45" customHeight="1" thickBot="1" x14ac:dyDescent="0.25">
      <c r="A25" s="645"/>
      <c r="B25" s="691"/>
      <c r="C25" s="692"/>
      <c r="D25" s="693"/>
      <c r="E25" s="691"/>
      <c r="F25" s="692"/>
      <c r="G25" s="693"/>
      <c r="H25" s="691"/>
      <c r="I25" s="692"/>
      <c r="J25" s="693"/>
      <c r="K25" s="370"/>
    </row>
    <row r="26" spans="1:13" ht="14.45" customHeight="1" x14ac:dyDescent="0.2">
      <c r="A26" s="645"/>
      <c r="B26" s="563" t="s">
        <v>24</v>
      </c>
      <c r="C26" s="557" t="s">
        <v>31</v>
      </c>
      <c r="D26" s="559" t="s">
        <v>32</v>
      </c>
      <c r="E26" s="563" t="s">
        <v>25</v>
      </c>
      <c r="F26" s="557" t="s">
        <v>31</v>
      </c>
      <c r="G26" s="559" t="s">
        <v>32</v>
      </c>
      <c r="H26" s="566" t="s">
        <v>19</v>
      </c>
      <c r="I26" s="557" t="s">
        <v>31</v>
      </c>
      <c r="J26" s="559" t="s">
        <v>32</v>
      </c>
      <c r="K26" s="553" t="s">
        <v>148</v>
      </c>
    </row>
    <row r="27" spans="1:13" ht="14.45" customHeight="1" thickBot="1" x14ac:dyDescent="0.25">
      <c r="A27" s="646"/>
      <c r="B27" s="655"/>
      <c r="C27" s="635"/>
      <c r="D27" s="634"/>
      <c r="E27" s="655"/>
      <c r="F27" s="654"/>
      <c r="G27" s="634"/>
      <c r="H27" s="636"/>
      <c r="I27" s="635"/>
      <c r="J27" s="634"/>
      <c r="K27" s="653"/>
    </row>
    <row r="28" spans="1:13" ht="15.95" customHeight="1" x14ac:dyDescent="0.2">
      <c r="A28" s="261" t="s">
        <v>7</v>
      </c>
      <c r="B28" s="262">
        <f>45063409.89+8992410.77</f>
        <v>54055820.659999996</v>
      </c>
      <c r="C28" s="248">
        <f>C40/12</f>
        <v>223966833.33333334</v>
      </c>
      <c r="D28" s="251">
        <f>B28-C28</f>
        <v>-169911012.67333335</v>
      </c>
      <c r="E28" s="263">
        <f>411359782.08+33104290.21</f>
        <v>444464072.28999996</v>
      </c>
      <c r="F28" s="264">
        <f>F40/12</f>
        <v>442753666.66666669</v>
      </c>
      <c r="G28" s="265">
        <f>E28-F28</f>
        <v>1710405.6233332753</v>
      </c>
      <c r="H28" s="266">
        <f t="shared" ref="H28:H40" si="8">$B8+$E8+$H8+$K8+$B28+$E28</f>
        <v>717989634.18999994</v>
      </c>
      <c r="I28" s="264">
        <f>I40/12</f>
        <v>880005416.66666663</v>
      </c>
      <c r="J28" s="267">
        <f>H28-I28</f>
        <v>-162015782.47666669</v>
      </c>
      <c r="K28" s="268">
        <f>J28/I40</f>
        <v>-1.5342309207061386E-2</v>
      </c>
    </row>
    <row r="29" spans="1:13" ht="15.95" customHeight="1" x14ac:dyDescent="0.2">
      <c r="A29" s="269" t="s">
        <v>8</v>
      </c>
      <c r="B29" s="270">
        <f>10072410.5+6793752.3+B28</f>
        <v>70921983.459999993</v>
      </c>
      <c r="C29" s="253">
        <f>C28*2</f>
        <v>447933666.66666669</v>
      </c>
      <c r="D29" s="249">
        <f t="shared" ref="D29:D39" si="9">B29-C29</f>
        <v>-377011683.20666671</v>
      </c>
      <c r="E29" s="271">
        <f>512247548.73+23061238.01+E28</f>
        <v>979772859.02999997</v>
      </c>
      <c r="F29" s="254">
        <f>F28*2</f>
        <v>885507333.33333337</v>
      </c>
      <c r="G29" s="249">
        <f t="shared" ref="G29:G39" si="10">E29-F29</f>
        <v>94265525.696666598</v>
      </c>
      <c r="H29" s="256">
        <f t="shared" si="8"/>
        <v>1473379314.5</v>
      </c>
      <c r="I29" s="254">
        <f>I28*2</f>
        <v>1760010833.3333333</v>
      </c>
      <c r="J29" s="249">
        <f t="shared" ref="J29:J39" si="11">H29-I29</f>
        <v>-286631518.83333325</v>
      </c>
      <c r="K29" s="272">
        <f>J29/I40</f>
        <v>-2.7142969179956112E-2</v>
      </c>
    </row>
    <row r="30" spans="1:13" ht="15.95" customHeight="1" x14ac:dyDescent="0.2">
      <c r="A30" s="269" t="s">
        <v>9</v>
      </c>
      <c r="B30" s="270">
        <f>13313754.76+327434761.32+B29</f>
        <v>411670499.53999996</v>
      </c>
      <c r="C30" s="254">
        <f>C28*3</f>
        <v>671900500</v>
      </c>
      <c r="D30" s="249">
        <f t="shared" si="9"/>
        <v>-260230000.46000004</v>
      </c>
      <c r="E30" s="271">
        <f>290916988.15+20712375.15+E29</f>
        <v>1291402222.3299999</v>
      </c>
      <c r="F30" s="254">
        <f>F28*3</f>
        <v>1328261000</v>
      </c>
      <c r="G30" s="249">
        <f t="shared" si="10"/>
        <v>-36858777.670000076</v>
      </c>
      <c r="H30" s="255">
        <f t="shared" si="8"/>
        <v>2326983570.5</v>
      </c>
      <c r="I30" s="254">
        <f>I28*3</f>
        <v>2640016250</v>
      </c>
      <c r="J30" s="249">
        <f t="shared" si="11"/>
        <v>-313032679.5</v>
      </c>
      <c r="K30" s="272">
        <f>J30/I40</f>
        <v>-2.964306370273289E-2</v>
      </c>
    </row>
    <row r="31" spans="1:13" ht="15.95" customHeight="1" x14ac:dyDescent="0.2">
      <c r="A31" s="269" t="s">
        <v>10</v>
      </c>
      <c r="B31" s="270">
        <f>186085380.51+15153078.14+B30</f>
        <v>612908958.18999994</v>
      </c>
      <c r="C31" s="253">
        <f>C28*4</f>
        <v>895867333.33333337</v>
      </c>
      <c r="D31" s="249">
        <f t="shared" si="9"/>
        <v>-282958375.14333344</v>
      </c>
      <c r="E31" s="271">
        <f>328546593.43+28342697.95+E30</f>
        <v>1648291513.71</v>
      </c>
      <c r="F31" s="253">
        <f>F28*4</f>
        <v>1771014666.6666667</v>
      </c>
      <c r="G31" s="249">
        <f t="shared" si="10"/>
        <v>-122723152.95666671</v>
      </c>
      <c r="H31" s="255">
        <f t="shared" si="8"/>
        <v>3052930878.8899999</v>
      </c>
      <c r="I31" s="253">
        <f>I28*4</f>
        <v>3520021666.6666665</v>
      </c>
      <c r="J31" s="249">
        <f t="shared" si="11"/>
        <v>-467090787.77666664</v>
      </c>
      <c r="K31" s="272">
        <f>J31/I40</f>
        <v>-4.4231809915627092E-2</v>
      </c>
    </row>
    <row r="32" spans="1:13" ht="15.95" customHeight="1" x14ac:dyDescent="0.2">
      <c r="A32" s="269" t="s">
        <v>11</v>
      </c>
      <c r="B32" s="270">
        <f>37941136.41+30225734.82+B31</f>
        <v>681075829.41999996</v>
      </c>
      <c r="C32" s="253">
        <f>C28*5</f>
        <v>1119834166.6666667</v>
      </c>
      <c r="D32" s="249">
        <f t="shared" si="9"/>
        <v>-438758337.24666679</v>
      </c>
      <c r="E32" s="271">
        <f>478875665.39+24577907.24+E31</f>
        <v>2151745086.3400002</v>
      </c>
      <c r="F32" s="253">
        <f>F28*5</f>
        <v>2213768333.3333335</v>
      </c>
      <c r="G32" s="249">
        <f t="shared" si="10"/>
        <v>-62023246.99333334</v>
      </c>
      <c r="H32" s="255">
        <f t="shared" si="8"/>
        <v>3813401454.3400002</v>
      </c>
      <c r="I32" s="253">
        <f>I28*5</f>
        <v>4400027083.333333</v>
      </c>
      <c r="J32" s="249">
        <f t="shared" si="11"/>
        <v>-586625628.99333286</v>
      </c>
      <c r="K32" s="272">
        <f>J32/I40</f>
        <v>-5.5551327476993075E-2</v>
      </c>
    </row>
    <row r="33" spans="1:13" ht="15.95" customHeight="1" x14ac:dyDescent="0.2">
      <c r="A33" s="499" t="s">
        <v>12</v>
      </c>
      <c r="B33" s="500">
        <f>1188614.11+B32</f>
        <v>682264443.52999997</v>
      </c>
      <c r="C33" s="497">
        <f>C28*6</f>
        <v>1343801000</v>
      </c>
      <c r="D33" s="494">
        <f t="shared" si="9"/>
        <v>-661536556.47000003</v>
      </c>
      <c r="E33" s="495">
        <f>390022710.82+E32</f>
        <v>2541767797.1600003</v>
      </c>
      <c r="F33" s="497">
        <f>F28*6</f>
        <v>2656522000</v>
      </c>
      <c r="G33" s="494">
        <f t="shared" si="10"/>
        <v>-114754202.83999968</v>
      </c>
      <c r="H33" s="255">
        <f t="shared" si="8"/>
        <v>4298714129.4800005</v>
      </c>
      <c r="I33" s="497">
        <f>I28*6</f>
        <v>5280032500</v>
      </c>
      <c r="J33" s="494">
        <f t="shared" si="11"/>
        <v>-981318370.5199995</v>
      </c>
      <c r="K33" s="496">
        <f>J33/I40</f>
        <v>-9.2927304000496161E-2</v>
      </c>
    </row>
    <row r="34" spans="1:13" ht="15.95" customHeight="1" x14ac:dyDescent="0.2">
      <c r="A34" s="269" t="s">
        <v>13</v>
      </c>
      <c r="B34" s="270">
        <f t="shared" ref="B33:B39" si="12">0+B33</f>
        <v>682264443.52999997</v>
      </c>
      <c r="C34" s="253">
        <f>C28*7</f>
        <v>1567767833.3333335</v>
      </c>
      <c r="D34" s="249">
        <f t="shared" si="9"/>
        <v>-885503389.80333352</v>
      </c>
      <c r="E34" s="271">
        <f t="shared" ref="E33:E39" si="13">0+E33</f>
        <v>2541767797.1600003</v>
      </c>
      <c r="F34" s="253">
        <f>F28*7</f>
        <v>3099275666.666667</v>
      </c>
      <c r="G34" s="249">
        <f t="shared" si="10"/>
        <v>-557507869.50666666</v>
      </c>
      <c r="H34" s="255">
        <f t="shared" si="8"/>
        <v>4298714129.4800005</v>
      </c>
      <c r="I34" s="253">
        <f>I28*7</f>
        <v>6160037916.666666</v>
      </c>
      <c r="J34" s="249">
        <f t="shared" si="11"/>
        <v>-1861323787.1866655</v>
      </c>
      <c r="K34" s="272">
        <f>J34/I40</f>
        <v>-0.17626063733382943</v>
      </c>
    </row>
    <row r="35" spans="1:13" ht="15.95" customHeight="1" x14ac:dyDescent="0.2">
      <c r="A35" s="269" t="s">
        <v>14</v>
      </c>
      <c r="B35" s="270">
        <f t="shared" si="12"/>
        <v>682264443.52999997</v>
      </c>
      <c r="C35" s="253">
        <f>C28*8</f>
        <v>1791734666.6666667</v>
      </c>
      <c r="D35" s="249">
        <f t="shared" si="9"/>
        <v>-1109470223.1366668</v>
      </c>
      <c r="E35" s="271">
        <f t="shared" si="13"/>
        <v>2541767797.1600003</v>
      </c>
      <c r="F35" s="253">
        <f>F28*8</f>
        <v>3542029333.3333335</v>
      </c>
      <c r="G35" s="249">
        <f t="shared" si="10"/>
        <v>-1000261536.1733332</v>
      </c>
      <c r="H35" s="255">
        <f t="shared" si="8"/>
        <v>4298714129.4800005</v>
      </c>
      <c r="I35" s="253">
        <f>I28*8</f>
        <v>7040043333.333333</v>
      </c>
      <c r="J35" s="249">
        <f t="shared" si="11"/>
        <v>-2741329203.8533325</v>
      </c>
      <c r="K35" s="272">
        <f>J35/I40</f>
        <v>-0.25959397066716278</v>
      </c>
    </row>
    <row r="36" spans="1:13" ht="15.95" customHeight="1" x14ac:dyDescent="0.2">
      <c r="A36" s="269" t="s">
        <v>15</v>
      </c>
      <c r="B36" s="270">
        <f t="shared" si="12"/>
        <v>682264443.52999997</v>
      </c>
      <c r="C36" s="253">
        <f>C28*9</f>
        <v>2015701500</v>
      </c>
      <c r="D36" s="249">
        <f t="shared" si="9"/>
        <v>-1333437056.47</v>
      </c>
      <c r="E36" s="271">
        <f t="shared" si="13"/>
        <v>2541767797.1600003</v>
      </c>
      <c r="F36" s="253">
        <f>F28*9</f>
        <v>3984783000</v>
      </c>
      <c r="G36" s="249">
        <f t="shared" si="10"/>
        <v>-1443015202.8399997</v>
      </c>
      <c r="H36" s="255">
        <f t="shared" si="8"/>
        <v>4298714129.4800005</v>
      </c>
      <c r="I36" s="253">
        <f>I28*9</f>
        <v>7920048750</v>
      </c>
      <c r="J36" s="249">
        <f t="shared" si="11"/>
        <v>-3621334620.5199995</v>
      </c>
      <c r="K36" s="272">
        <f>J36/I40</f>
        <v>-0.34292730400049615</v>
      </c>
    </row>
    <row r="37" spans="1:13" ht="15.95" customHeight="1" x14ac:dyDescent="0.2">
      <c r="A37" s="269" t="s">
        <v>16</v>
      </c>
      <c r="B37" s="270">
        <f t="shared" si="12"/>
        <v>682264443.52999997</v>
      </c>
      <c r="C37" s="253">
        <f>C28*10</f>
        <v>2239668333.3333335</v>
      </c>
      <c r="D37" s="249">
        <f t="shared" si="9"/>
        <v>-1557403889.8033335</v>
      </c>
      <c r="E37" s="271">
        <f t="shared" si="13"/>
        <v>2541767797.1600003</v>
      </c>
      <c r="F37" s="253">
        <f>F28*10</f>
        <v>4427536666.666667</v>
      </c>
      <c r="G37" s="249">
        <f>E37-F37</f>
        <v>-1885768869.5066667</v>
      </c>
      <c r="H37" s="255">
        <f t="shared" si="8"/>
        <v>4298714129.4800005</v>
      </c>
      <c r="I37" s="253">
        <f>I28*10</f>
        <v>8800054166.666666</v>
      </c>
      <c r="J37" s="249">
        <f t="shared" si="11"/>
        <v>-4501340037.1866655</v>
      </c>
      <c r="K37" s="272">
        <f>J37/I40</f>
        <v>-0.42626063733382946</v>
      </c>
    </row>
    <row r="38" spans="1:13" ht="15.95" customHeight="1" x14ac:dyDescent="0.2">
      <c r="A38" s="269" t="s">
        <v>17</v>
      </c>
      <c r="B38" s="270">
        <f t="shared" si="12"/>
        <v>682264443.52999997</v>
      </c>
      <c r="C38" s="253">
        <f>C28*11</f>
        <v>2463635166.666667</v>
      </c>
      <c r="D38" s="249">
        <f t="shared" si="9"/>
        <v>-1781370723.136667</v>
      </c>
      <c r="E38" s="271">
        <f t="shared" si="13"/>
        <v>2541767797.1600003</v>
      </c>
      <c r="F38" s="253">
        <f>F28*11</f>
        <v>4870290333.333334</v>
      </c>
      <c r="G38" s="249">
        <f t="shared" si="10"/>
        <v>-2328522536.1733336</v>
      </c>
      <c r="H38" s="255">
        <f t="shared" si="8"/>
        <v>4298714129.4800005</v>
      </c>
      <c r="I38" s="253">
        <f>I28*11</f>
        <v>9680059583.3333321</v>
      </c>
      <c r="J38" s="249">
        <f t="shared" si="11"/>
        <v>-5381345453.8533316</v>
      </c>
      <c r="K38" s="272">
        <f>J38/I40</f>
        <v>-0.50959397066716272</v>
      </c>
    </row>
    <row r="39" spans="1:13" ht="15.95" customHeight="1" thickBot="1" x14ac:dyDescent="0.25">
      <c r="A39" s="340" t="s">
        <v>18</v>
      </c>
      <c r="B39" s="270">
        <f t="shared" si="12"/>
        <v>682264443.52999997</v>
      </c>
      <c r="C39" s="338">
        <f>C28*12</f>
        <v>2687602000</v>
      </c>
      <c r="D39" s="464">
        <f t="shared" si="9"/>
        <v>-2005337556.47</v>
      </c>
      <c r="E39" s="271">
        <f t="shared" si="13"/>
        <v>2541767797.1600003</v>
      </c>
      <c r="F39" s="338">
        <f>F28*12</f>
        <v>5313044000</v>
      </c>
      <c r="G39" s="411">
        <f t="shared" si="10"/>
        <v>-2771276202.8399997</v>
      </c>
      <c r="H39" s="275">
        <f t="shared" si="8"/>
        <v>4298714129.4800005</v>
      </c>
      <c r="I39" s="338">
        <f>I28*12</f>
        <v>10560065000</v>
      </c>
      <c r="J39" s="411">
        <f t="shared" si="11"/>
        <v>-6261350870.5199995</v>
      </c>
      <c r="K39" s="466">
        <f>J39/I40</f>
        <v>-0.5929273040004962</v>
      </c>
    </row>
    <row r="40" spans="1:13" ht="15.95" customHeight="1" thickBot="1" x14ac:dyDescent="0.25">
      <c r="A40" s="257" t="s">
        <v>19</v>
      </c>
      <c r="B40" s="345">
        <f>B39</f>
        <v>682264443.52999997</v>
      </c>
      <c r="C40" s="258">
        <v>2687602000</v>
      </c>
      <c r="D40" s="278"/>
      <c r="E40" s="345">
        <f>E39</f>
        <v>2541767797.1600003</v>
      </c>
      <c r="F40" s="258">
        <v>5313044000</v>
      </c>
      <c r="G40" s="278"/>
      <c r="H40" s="351">
        <f t="shared" si="8"/>
        <v>4298714129.4800005</v>
      </c>
      <c r="I40" s="279">
        <f>C20+F20+I20+L20+C40+F40</f>
        <v>10560065000</v>
      </c>
      <c r="J40" s="280"/>
      <c r="K40" s="350"/>
    </row>
    <row r="41" spans="1:13" x14ac:dyDescent="0.2">
      <c r="A41" s="659"/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42:M42"/>
    <mergeCell ref="E26:E27"/>
    <mergeCell ref="F26:F27"/>
    <mergeCell ref="G26:G27"/>
    <mergeCell ref="H26:H27"/>
    <mergeCell ref="I26:I27"/>
    <mergeCell ref="J26:J2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1A526-4800-46BA-ACED-D8761DD60B90}">
  <sheetPr>
    <tabColor theme="5" tint="-0.499984740745262"/>
  </sheetPr>
  <dimension ref="A1:S76"/>
  <sheetViews>
    <sheetView showGridLines="0" view="pageBreakPreview" zoomScale="160" zoomScaleNormal="160" zoomScaleSheetLayoutView="160" workbookViewId="0">
      <selection activeCell="A40" sqref="A4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6" width="9.140625" style="1"/>
    <col min="17" max="17" width="13.140625" style="1" customWidth="1"/>
    <col min="18" max="19" width="9.140625" style="1"/>
    <col min="20" max="20" width="3.7109375" style="1" customWidth="1"/>
    <col min="21" max="16384" width="9.140625" style="1"/>
  </cols>
  <sheetData>
    <row r="1" spans="1:19" ht="28.5" x14ac:dyDescent="0.45">
      <c r="A1" s="656" t="s">
        <v>217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451"/>
      <c r="Q1" s="451"/>
      <c r="R1" s="452"/>
      <c r="S1" s="452"/>
    </row>
    <row r="2" spans="1:19" ht="20.25" x14ac:dyDescent="0.3">
      <c r="A2" s="587" t="s">
        <v>230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37" spans="1:19" x14ac:dyDescent="0.2">
      <c r="I37" s="471" t="s">
        <v>35</v>
      </c>
    </row>
    <row r="38" spans="1:19" ht="28.5" x14ac:dyDescent="0.45">
      <c r="A38" s="656" t="s">
        <v>218</v>
      </c>
      <c r="B38" s="592"/>
      <c r="C38" s="592"/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452"/>
      <c r="Q38" s="452"/>
      <c r="R38" s="452"/>
      <c r="S38" s="452"/>
    </row>
    <row r="39" spans="1:19" ht="20.25" x14ac:dyDescent="0.3">
      <c r="A39" s="587" t="s">
        <v>230</v>
      </c>
      <c r="B39" s="592"/>
      <c r="C39" s="592"/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/>
      <c r="Q39"/>
      <c r="R39"/>
      <c r="S39"/>
    </row>
    <row r="40" spans="1:19" ht="12.75" customHeight="1" x14ac:dyDescent="0.2"/>
    <row r="61" spans="11:19" x14ac:dyDescent="0.2">
      <c r="K61" s="469"/>
      <c r="L61" s="470"/>
      <c r="M61" s="470"/>
      <c r="N61" s="470"/>
      <c r="O61" s="470"/>
      <c r="P61" s="470"/>
      <c r="Q61" s="470"/>
      <c r="R61" s="470"/>
      <c r="S61" s="470"/>
    </row>
    <row r="76" spans="1:11" x14ac:dyDescent="0.2">
      <c r="A76" s="684"/>
      <c r="B76" s="684"/>
      <c r="C76" s="684"/>
      <c r="D76" s="684"/>
      <c r="E76" s="684"/>
      <c r="F76" s="684"/>
      <c r="G76" s="684"/>
      <c r="H76" s="684"/>
      <c r="I76" s="684"/>
      <c r="J76" s="684"/>
      <c r="K76" s="684"/>
    </row>
  </sheetData>
  <mergeCells count="5">
    <mergeCell ref="A1:O1"/>
    <mergeCell ref="A2:O2"/>
    <mergeCell ref="A38:O38"/>
    <mergeCell ref="A39:O39"/>
    <mergeCell ref="A76:K76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2D94-20EB-4FF6-A447-B69A8E40047A}">
  <sheetPr>
    <tabColor theme="5" tint="-0.499984740745262"/>
    <pageSetUpPr fitToPage="1"/>
  </sheetPr>
  <dimension ref="A1:S43"/>
  <sheetViews>
    <sheetView showGridLines="0" zoomScale="130" zoomScaleNormal="130" zoomScaleSheetLayoutView="130" workbookViewId="0">
      <pane xSplit="1" topLeftCell="B1" activePane="topRight" state="frozen"/>
      <selection sqref="A1:M1"/>
      <selection pane="topRight" activeCell="I36" sqref="I36"/>
    </sheetView>
  </sheetViews>
  <sheetFormatPr defaultColWidth="9.140625" defaultRowHeight="12.75" x14ac:dyDescent="0.2"/>
  <cols>
    <col min="1" max="1" width="7.7109375" style="66" customWidth="1"/>
    <col min="2" max="4" width="11.85546875" style="66" customWidth="1"/>
    <col min="5" max="5" width="12.7109375" style="212" customWidth="1"/>
    <col min="6" max="8" width="11.85546875" style="66" customWidth="1"/>
    <col min="9" max="9" width="12.7109375" style="212" customWidth="1"/>
    <col min="10" max="12" width="11.85546875" style="66" customWidth="1"/>
    <col min="13" max="13" width="13.28515625" style="212" customWidth="1"/>
    <col min="14" max="16" width="11.85546875" style="66" customWidth="1"/>
    <col min="17" max="17" width="12.7109375" style="212" customWidth="1"/>
    <col min="18" max="18" width="9.7109375" style="66" customWidth="1"/>
    <col min="19" max="19" width="12.42578125" style="66" customWidth="1"/>
    <col min="20" max="21" width="9.7109375" style="66" customWidth="1"/>
    <col min="22" max="22" width="11" style="66" customWidth="1"/>
    <col min="23" max="16384" width="9.140625" style="66"/>
  </cols>
  <sheetData>
    <row r="1" spans="1:19" ht="20.25" x14ac:dyDescent="0.3">
      <c r="A1" s="585" t="s">
        <v>225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</row>
    <row r="2" spans="1:19" ht="20.25" x14ac:dyDescent="0.3">
      <c r="A2" s="587" t="s">
        <v>65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</row>
    <row r="3" spans="1:19" ht="15.95" customHeight="1" x14ac:dyDescent="0.3">
      <c r="A3" s="462"/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</row>
    <row r="4" spans="1:19" ht="15.95" customHeight="1" x14ac:dyDescent="0.2">
      <c r="A4" s="666" t="s">
        <v>231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</row>
    <row r="5" spans="1:19" ht="13.5" customHeight="1" thickBot="1" x14ac:dyDescent="0.25">
      <c r="B5" s="67"/>
      <c r="C5" s="68"/>
      <c r="D5" s="68"/>
      <c r="E5" s="203"/>
      <c r="F5" s="69"/>
      <c r="G5" s="69"/>
      <c r="H5" s="71"/>
      <c r="I5" s="204"/>
      <c r="J5" s="70"/>
      <c r="K5" s="70"/>
      <c r="L5" s="71"/>
      <c r="M5" s="204"/>
      <c r="N5" s="71"/>
      <c r="O5" s="71"/>
      <c r="P5" s="72"/>
      <c r="Q5" s="381" t="s">
        <v>26</v>
      </c>
    </row>
    <row r="6" spans="1:19" ht="14.45" customHeight="1" x14ac:dyDescent="0.2">
      <c r="A6" s="660" t="s">
        <v>2</v>
      </c>
      <c r="B6" s="712" t="s">
        <v>219</v>
      </c>
      <c r="C6" s="713"/>
      <c r="D6" s="713"/>
      <c r="E6" s="714"/>
      <c r="F6" s="715" t="s">
        <v>220</v>
      </c>
      <c r="G6" s="716"/>
      <c r="H6" s="716"/>
      <c r="I6" s="717"/>
      <c r="J6" s="703" t="s">
        <v>221</v>
      </c>
      <c r="K6" s="696"/>
      <c r="L6" s="696"/>
      <c r="M6" s="697"/>
      <c r="N6" s="718" t="s">
        <v>222</v>
      </c>
      <c r="O6" s="696"/>
      <c r="P6" s="696"/>
      <c r="Q6" s="697"/>
    </row>
    <row r="7" spans="1:19" ht="14.45" customHeight="1" thickBot="1" x14ac:dyDescent="0.25">
      <c r="A7" s="661"/>
      <c r="B7" s="699"/>
      <c r="C7" s="699"/>
      <c r="D7" s="699"/>
      <c r="E7" s="700"/>
      <c r="F7" s="698"/>
      <c r="G7" s="699"/>
      <c r="H7" s="699"/>
      <c r="I7" s="700"/>
      <c r="J7" s="698"/>
      <c r="K7" s="699"/>
      <c r="L7" s="699"/>
      <c r="M7" s="700"/>
      <c r="N7" s="698"/>
      <c r="O7" s="699"/>
      <c r="P7" s="699"/>
      <c r="Q7" s="700"/>
    </row>
    <row r="8" spans="1:19" ht="13.5" customHeight="1" x14ac:dyDescent="0.2">
      <c r="A8" s="661"/>
      <c r="B8" s="473"/>
      <c r="C8" s="473"/>
      <c r="D8" s="474"/>
      <c r="E8" s="721" t="s">
        <v>226</v>
      </c>
      <c r="F8" s="473"/>
      <c r="G8" s="473"/>
      <c r="H8" s="474"/>
      <c r="I8" s="721" t="s">
        <v>226</v>
      </c>
      <c r="J8" s="473"/>
      <c r="K8" s="473"/>
      <c r="L8" s="474"/>
      <c r="M8" s="721" t="s">
        <v>226</v>
      </c>
      <c r="N8" s="473"/>
      <c r="O8" s="473"/>
      <c r="P8" s="474"/>
      <c r="Q8" s="721" t="s">
        <v>226</v>
      </c>
    </row>
    <row r="9" spans="1:19" ht="13.5" customHeight="1" thickBot="1" x14ac:dyDescent="0.25">
      <c r="A9" s="662"/>
      <c r="B9" s="475" t="s">
        <v>152</v>
      </c>
      <c r="C9" s="475" t="s">
        <v>179</v>
      </c>
      <c r="D9" s="476" t="s">
        <v>195</v>
      </c>
      <c r="E9" s="722"/>
      <c r="F9" s="475" t="s">
        <v>152</v>
      </c>
      <c r="G9" s="475" t="s">
        <v>179</v>
      </c>
      <c r="H9" s="476" t="s">
        <v>195</v>
      </c>
      <c r="I9" s="722"/>
      <c r="J9" s="475" t="s">
        <v>152</v>
      </c>
      <c r="K9" s="475" t="s">
        <v>179</v>
      </c>
      <c r="L9" s="476" t="s">
        <v>195</v>
      </c>
      <c r="M9" s="722"/>
      <c r="N9" s="475" t="s">
        <v>152</v>
      </c>
      <c r="O9" s="475" t="s">
        <v>179</v>
      </c>
      <c r="P9" s="476" t="s">
        <v>195</v>
      </c>
      <c r="Q9" s="722"/>
    </row>
    <row r="10" spans="1:19" ht="17.100000000000001" customHeight="1" x14ac:dyDescent="0.2">
      <c r="A10" s="386" t="s">
        <v>7</v>
      </c>
      <c r="B10" s="477">
        <v>140979932.11000001</v>
      </c>
      <c r="C10" s="477">
        <v>149006822.40000001</v>
      </c>
      <c r="D10" s="477">
        <v>159348196.32999998</v>
      </c>
      <c r="E10" s="478">
        <f>67099402.63+104493856.7</f>
        <v>171593259.33000001</v>
      </c>
      <c r="F10" s="479">
        <v>8746900.7100000009</v>
      </c>
      <c r="G10" s="479">
        <v>9177828.5700000003</v>
      </c>
      <c r="H10" s="477">
        <v>10367156.5</v>
      </c>
      <c r="I10" s="478">
        <f>4448097.03+7144921.7</f>
        <v>11593018.73</v>
      </c>
      <c r="J10" s="477">
        <v>7376859.04</v>
      </c>
      <c r="K10" s="477">
        <v>8099954.6499999994</v>
      </c>
      <c r="L10" s="477">
        <v>7777615.9100000001</v>
      </c>
      <c r="M10" s="478">
        <f>6030166.8+1848145.17</f>
        <v>7878311.9699999997</v>
      </c>
      <c r="N10" s="477">
        <v>20064782.27</v>
      </c>
      <c r="O10" s="477">
        <v>31706626</v>
      </c>
      <c r="P10" s="477">
        <v>34265336.329999998</v>
      </c>
      <c r="Q10" s="478">
        <f>21200281.41+7204869.8</f>
        <v>28405151.210000001</v>
      </c>
      <c r="S10" s="212"/>
    </row>
    <row r="11" spans="1:19" ht="17.100000000000001" customHeight="1" x14ac:dyDescent="0.2">
      <c r="A11" s="390" t="s">
        <v>8</v>
      </c>
      <c r="B11" s="480">
        <v>105073495.16</v>
      </c>
      <c r="C11" s="480">
        <v>142668775.87</v>
      </c>
      <c r="D11" s="480">
        <v>147663155.21000001</v>
      </c>
      <c r="E11" s="481">
        <f>69028936.18+84106026.53</f>
        <v>153134962.71000001</v>
      </c>
      <c r="F11" s="480">
        <v>6519136.5500000007</v>
      </c>
      <c r="G11" s="480">
        <v>8787447.0399999991</v>
      </c>
      <c r="H11" s="480">
        <v>9743370.6900000013</v>
      </c>
      <c r="I11" s="481">
        <f>4719955.35+5750873.64</f>
        <v>10470828.989999998</v>
      </c>
      <c r="J11" s="480">
        <v>3585999.83</v>
      </c>
      <c r="K11" s="480">
        <v>5265718.1999999993</v>
      </c>
      <c r="L11" s="480">
        <v>5961653.3699999992</v>
      </c>
      <c r="M11" s="481">
        <f>3076821.45+3335344.52</f>
        <v>6412165.9700000007</v>
      </c>
      <c r="N11" s="480">
        <v>23639919.380000003</v>
      </c>
      <c r="O11" s="480">
        <v>32712074.349999998</v>
      </c>
      <c r="P11" s="480">
        <v>34889809.700000003</v>
      </c>
      <c r="Q11" s="481">
        <f>26591550.62+6605222.48</f>
        <v>33196773.100000001</v>
      </c>
    </row>
    <row r="12" spans="1:19" ht="17.100000000000001" customHeight="1" x14ac:dyDescent="0.2">
      <c r="A12" s="390" t="s">
        <v>9</v>
      </c>
      <c r="B12" s="480">
        <v>78246838.700000003</v>
      </c>
      <c r="C12" s="480">
        <v>114427016.06</v>
      </c>
      <c r="D12" s="480">
        <v>125613846.63</v>
      </c>
      <c r="E12" s="481">
        <f>63787395.22+71854014.53</f>
        <v>135641409.75</v>
      </c>
      <c r="F12" s="480">
        <v>4854714.54</v>
      </c>
      <c r="G12" s="480">
        <v>7047942.5700000003</v>
      </c>
      <c r="H12" s="480">
        <v>8288474.3100000005</v>
      </c>
      <c r="I12" s="481">
        <f>4361557.25+4913124.25</f>
        <v>9274681.5</v>
      </c>
      <c r="J12" s="480">
        <v>13902009.93</v>
      </c>
      <c r="K12" s="480">
        <v>12602534.07</v>
      </c>
      <c r="L12" s="480">
        <v>11898778.27</v>
      </c>
      <c r="M12" s="481">
        <f>5990012.77+24836374.45</f>
        <v>30826387.219999999</v>
      </c>
      <c r="N12" s="480">
        <v>16175021.950000001</v>
      </c>
      <c r="O12" s="480">
        <v>25635325.850000001</v>
      </c>
      <c r="P12" s="480">
        <v>29598092.759999998</v>
      </c>
      <c r="Q12" s="481">
        <f>17238095.7+8245802.45</f>
        <v>25483898.149999999</v>
      </c>
    </row>
    <row r="13" spans="1:19" ht="17.100000000000001" customHeight="1" x14ac:dyDescent="0.2">
      <c r="A13" s="390" t="s">
        <v>10</v>
      </c>
      <c r="B13" s="480">
        <v>81268931.090000004</v>
      </c>
      <c r="C13" s="480">
        <v>99270690.580000013</v>
      </c>
      <c r="D13" s="480">
        <v>113013837.53</v>
      </c>
      <c r="E13" s="481">
        <f>50422050.74+80592098.88</f>
        <v>131014149.62</v>
      </c>
      <c r="F13" s="480">
        <v>5042215.99</v>
      </c>
      <c r="G13" s="480">
        <v>6114413.8600000003</v>
      </c>
      <c r="H13" s="480">
        <v>7457078.3200000003</v>
      </c>
      <c r="I13" s="481">
        <f>3447682.11+5510603.67</f>
        <v>8958285.7799999993</v>
      </c>
      <c r="J13" s="480">
        <v>0</v>
      </c>
      <c r="K13" s="480">
        <v>0</v>
      </c>
      <c r="L13" s="480">
        <v>0</v>
      </c>
      <c r="M13" s="481">
        <v>0</v>
      </c>
      <c r="N13" s="480">
        <v>18910669.41</v>
      </c>
      <c r="O13" s="480">
        <v>27177984.280000001</v>
      </c>
      <c r="P13" s="480">
        <v>25849449.32</v>
      </c>
      <c r="Q13" s="481">
        <f>17627316.24+10219806.72</f>
        <v>27847122.960000001</v>
      </c>
    </row>
    <row r="14" spans="1:19" ht="17.100000000000001" customHeight="1" x14ac:dyDescent="0.2">
      <c r="A14" s="390" t="s">
        <v>11</v>
      </c>
      <c r="B14" s="480">
        <v>95091689.019999996</v>
      </c>
      <c r="C14" s="480">
        <v>125344857.15000001</v>
      </c>
      <c r="D14" s="480">
        <v>142189324.00999999</v>
      </c>
      <c r="E14" s="481">
        <f>48673478.43+102089033.25</f>
        <v>150762511.68000001</v>
      </c>
      <c r="F14" s="480">
        <v>5899829.4499999993</v>
      </c>
      <c r="G14" s="480">
        <v>7720408.9199999999</v>
      </c>
      <c r="H14" s="480">
        <v>9382186.6999999993</v>
      </c>
      <c r="I14" s="481">
        <f>3328120.88+6980488.26</f>
        <v>10308609.140000001</v>
      </c>
      <c r="J14" s="480">
        <v>0</v>
      </c>
      <c r="K14" s="480">
        <v>0</v>
      </c>
      <c r="L14" s="480">
        <v>0</v>
      </c>
      <c r="M14" s="481">
        <v>0</v>
      </c>
      <c r="N14" s="480">
        <v>21410489.079999998</v>
      </c>
      <c r="O14" s="480">
        <v>29394447.479999997</v>
      </c>
      <c r="P14" s="480">
        <v>31258707.200000003</v>
      </c>
      <c r="Q14" s="481">
        <f>18948787.2+8830223.57</f>
        <v>27779010.77</v>
      </c>
    </row>
    <row r="15" spans="1:19" ht="17.100000000000001" customHeight="1" x14ac:dyDescent="0.2">
      <c r="A15" s="390" t="s">
        <v>12</v>
      </c>
      <c r="B15" s="480">
        <v>128112946.40000001</v>
      </c>
      <c r="C15" s="480">
        <v>149842850.99000001</v>
      </c>
      <c r="D15" s="480">
        <v>155878498.23000002</v>
      </c>
      <c r="E15" s="481">
        <f>71487676.8</f>
        <v>71487676.799999997</v>
      </c>
      <c r="F15" s="480">
        <v>7948586.75</v>
      </c>
      <c r="G15" s="480">
        <v>9229322.3300000001</v>
      </c>
      <c r="H15" s="480">
        <v>10285449.98</v>
      </c>
      <c r="I15" s="481">
        <f>4888075.38</f>
        <v>4888075.38</v>
      </c>
      <c r="J15" s="480">
        <v>0</v>
      </c>
      <c r="K15" s="480">
        <v>0</v>
      </c>
      <c r="L15" s="480">
        <v>0</v>
      </c>
      <c r="M15" s="481">
        <v>0</v>
      </c>
      <c r="N15" s="480">
        <v>23438643.289999999</v>
      </c>
      <c r="O15" s="480">
        <v>33839624.030000001</v>
      </c>
      <c r="P15" s="480">
        <v>33995424.170000002</v>
      </c>
      <c r="Q15" s="481">
        <f>17725598.03</f>
        <v>17725598.030000001</v>
      </c>
    </row>
    <row r="16" spans="1:19" ht="17.100000000000001" customHeight="1" x14ac:dyDescent="0.2">
      <c r="A16" s="378" t="s">
        <v>13</v>
      </c>
      <c r="B16" s="480">
        <v>133769365.87</v>
      </c>
      <c r="C16" s="480">
        <v>149715622.82999998</v>
      </c>
      <c r="D16" s="480">
        <v>164039306.78</v>
      </c>
      <c r="E16" s="481">
        <v>0</v>
      </c>
      <c r="F16" s="480">
        <v>8299531.2599999998</v>
      </c>
      <c r="G16" s="480">
        <v>9221485.9299999997</v>
      </c>
      <c r="H16" s="480">
        <v>10823930.789999999</v>
      </c>
      <c r="I16" s="481">
        <v>0</v>
      </c>
      <c r="J16" s="480">
        <v>44271148.890000001</v>
      </c>
      <c r="K16" s="480">
        <v>42835906.990000002</v>
      </c>
      <c r="L16" s="480">
        <v>39345204.810000002</v>
      </c>
      <c r="M16" s="481">
        <v>0</v>
      </c>
      <c r="N16" s="480">
        <v>30180584.66</v>
      </c>
      <c r="O16" s="480">
        <v>41336035.740000002</v>
      </c>
      <c r="P16" s="480">
        <v>56651296.489999995</v>
      </c>
      <c r="Q16" s="481">
        <v>0</v>
      </c>
    </row>
    <row r="17" spans="1:17" ht="17.100000000000001" customHeight="1" x14ac:dyDescent="0.2">
      <c r="A17" s="378" t="s">
        <v>14</v>
      </c>
      <c r="B17" s="480">
        <v>121579045.33</v>
      </c>
      <c r="C17" s="480">
        <v>147754641.77000001</v>
      </c>
      <c r="D17" s="480">
        <v>162727801.94999999</v>
      </c>
      <c r="E17" s="481">
        <v>0</v>
      </c>
      <c r="F17" s="480">
        <v>7543200.0700000003</v>
      </c>
      <c r="G17" s="480">
        <v>9100702.5300000012</v>
      </c>
      <c r="H17" s="480">
        <v>10737392.779999999</v>
      </c>
      <c r="I17" s="481">
        <v>0</v>
      </c>
      <c r="J17" s="480">
        <v>0</v>
      </c>
      <c r="K17" s="480">
        <v>0</v>
      </c>
      <c r="L17" s="480">
        <v>0</v>
      </c>
      <c r="M17" s="481">
        <v>0</v>
      </c>
      <c r="N17" s="480">
        <v>32148139.740000002</v>
      </c>
      <c r="O17" s="480">
        <v>39947724.549999997</v>
      </c>
      <c r="P17" s="480">
        <v>38971717.420000002</v>
      </c>
      <c r="Q17" s="481">
        <v>0</v>
      </c>
    </row>
    <row r="18" spans="1:17" ht="17.100000000000001" customHeight="1" x14ac:dyDescent="0.2">
      <c r="A18" s="390" t="s">
        <v>15</v>
      </c>
      <c r="B18" s="480">
        <v>130533304.34</v>
      </c>
      <c r="C18" s="480">
        <v>117836542.19</v>
      </c>
      <c r="D18" s="480">
        <v>134702238.51999998</v>
      </c>
      <c r="E18" s="481">
        <v>0</v>
      </c>
      <c r="F18" s="480">
        <v>7666189.6500000004</v>
      </c>
      <c r="G18" s="480">
        <v>9578545.5099999998</v>
      </c>
      <c r="H18" s="480">
        <v>9270098.5099999998</v>
      </c>
      <c r="I18" s="481">
        <v>0</v>
      </c>
      <c r="J18" s="480">
        <v>20787627.73</v>
      </c>
      <c r="K18" s="480">
        <v>20174749.620000001</v>
      </c>
      <c r="L18" s="480">
        <v>16289081.17</v>
      </c>
      <c r="M18" s="481">
        <v>0</v>
      </c>
      <c r="N18" s="480">
        <v>30509777.780000001</v>
      </c>
      <c r="O18" s="480">
        <v>45371842.519999996</v>
      </c>
      <c r="P18" s="480">
        <v>41805133.75</v>
      </c>
      <c r="Q18" s="481">
        <v>0</v>
      </c>
    </row>
    <row r="19" spans="1:17" ht="17.100000000000001" customHeight="1" x14ac:dyDescent="0.2">
      <c r="A19" s="378" t="s">
        <v>16</v>
      </c>
      <c r="B19" s="480">
        <v>123271180.73</v>
      </c>
      <c r="C19" s="480">
        <v>131637792.44</v>
      </c>
      <c r="D19" s="480">
        <v>154641346.68000001</v>
      </c>
      <c r="E19" s="481">
        <v>0</v>
      </c>
      <c r="F19" s="480">
        <v>7592684.2700000005</v>
      </c>
      <c r="G19" s="480">
        <v>8376704.5999999996</v>
      </c>
      <c r="H19" s="480">
        <v>10251353.9</v>
      </c>
      <c r="I19" s="481">
        <v>0</v>
      </c>
      <c r="J19" s="480">
        <v>7495973.3799999999</v>
      </c>
      <c r="K19" s="480">
        <v>9573206.4299999997</v>
      </c>
      <c r="L19" s="480">
        <v>12709381.789999999</v>
      </c>
      <c r="M19" s="481">
        <v>0</v>
      </c>
      <c r="N19" s="480">
        <v>23780770.009999998</v>
      </c>
      <c r="O19" s="480">
        <v>32147659.890000001</v>
      </c>
      <c r="P19" s="480">
        <v>33677086.390000001</v>
      </c>
      <c r="Q19" s="481">
        <v>0</v>
      </c>
    </row>
    <row r="20" spans="1:17" ht="17.100000000000001" customHeight="1" x14ac:dyDescent="0.2">
      <c r="A20" s="378" t="s">
        <v>17</v>
      </c>
      <c r="B20" s="480">
        <v>132959688.38</v>
      </c>
      <c r="C20" s="480">
        <v>152380761.47999999</v>
      </c>
      <c r="D20" s="480">
        <v>158728345.30000001</v>
      </c>
      <c r="E20" s="481">
        <v>0</v>
      </c>
      <c r="F20" s="480">
        <v>8189431.8499999996</v>
      </c>
      <c r="G20" s="480">
        <v>9696673.0099999998</v>
      </c>
      <c r="H20" s="480">
        <v>10522285.710000001</v>
      </c>
      <c r="I20" s="481">
        <v>0</v>
      </c>
      <c r="J20" s="480">
        <v>5549521.3399999999</v>
      </c>
      <c r="K20" s="480">
        <v>8262671.6999999993</v>
      </c>
      <c r="L20" s="480">
        <v>7634541.1899999995</v>
      </c>
      <c r="M20" s="481">
        <v>0</v>
      </c>
      <c r="N20" s="480">
        <v>26170461.479999997</v>
      </c>
      <c r="O20" s="480">
        <v>34690800.259999998</v>
      </c>
      <c r="P20" s="480">
        <v>30628757.539999999</v>
      </c>
      <c r="Q20" s="481">
        <v>0</v>
      </c>
    </row>
    <row r="21" spans="1:17" ht="17.100000000000001" customHeight="1" thickBot="1" x14ac:dyDescent="0.25">
      <c r="A21" s="393" t="s">
        <v>18</v>
      </c>
      <c r="B21" s="482">
        <v>161219302.20999998</v>
      </c>
      <c r="C21" s="482">
        <v>173363447.88</v>
      </c>
      <c r="D21" s="482">
        <v>187146898.14000002</v>
      </c>
      <c r="E21" s="483">
        <v>0</v>
      </c>
      <c r="F21" s="484">
        <v>9930036.0199999996</v>
      </c>
      <c r="G21" s="482">
        <v>11031895.66</v>
      </c>
      <c r="H21" s="482">
        <v>12406184.5</v>
      </c>
      <c r="I21" s="483">
        <v>0</v>
      </c>
      <c r="J21" s="482">
        <v>30547210.600000001</v>
      </c>
      <c r="K21" s="482">
        <v>34330441.780000001</v>
      </c>
      <c r="L21" s="482">
        <v>34733602.469999999</v>
      </c>
      <c r="M21" s="483">
        <v>0</v>
      </c>
      <c r="N21" s="482">
        <v>30371676.059999999</v>
      </c>
      <c r="O21" s="482">
        <v>33375866.399999999</v>
      </c>
      <c r="P21" s="482">
        <v>32385418.810000002</v>
      </c>
      <c r="Q21" s="483">
        <v>0</v>
      </c>
    </row>
    <row r="22" spans="1:17" ht="21" customHeight="1" thickBot="1" x14ac:dyDescent="0.25">
      <c r="A22" s="397" t="s">
        <v>19</v>
      </c>
      <c r="B22" s="398">
        <f t="shared" ref="B22" si="0">SUM(B10:B21)</f>
        <v>1432105719.3400002</v>
      </c>
      <c r="C22" s="399">
        <f>SUM(C10:C21)</f>
        <v>1653249821.6399999</v>
      </c>
      <c r="D22" s="400">
        <f>SUM(D10:D21)</f>
        <v>1805692795.3099999</v>
      </c>
      <c r="E22" s="401">
        <f>SUM(E10:E21)</f>
        <v>813633969.8900001</v>
      </c>
      <c r="F22" s="399">
        <f t="shared" ref="F22" si="1">SUM(F10:F21)</f>
        <v>88232457.109999985</v>
      </c>
      <c r="G22" s="399">
        <f>SUM(G10:G21)</f>
        <v>105083370.53</v>
      </c>
      <c r="H22" s="400">
        <f t="shared" ref="H22:Q22" si="2">SUM(H10:H21)</f>
        <v>119534962.69</v>
      </c>
      <c r="I22" s="401">
        <f t="shared" si="2"/>
        <v>55493499.520000003</v>
      </c>
      <c r="J22" s="402">
        <f t="shared" si="2"/>
        <v>133516350.74000001</v>
      </c>
      <c r="K22" s="399">
        <f t="shared" si="2"/>
        <v>141145183.44</v>
      </c>
      <c r="L22" s="400">
        <f t="shared" si="2"/>
        <v>136349858.97999999</v>
      </c>
      <c r="M22" s="401">
        <f t="shared" si="2"/>
        <v>45116865.159999996</v>
      </c>
      <c r="N22" s="399">
        <f t="shared" si="2"/>
        <v>296800935.10999995</v>
      </c>
      <c r="O22" s="399">
        <f t="shared" si="2"/>
        <v>407336011.3499999</v>
      </c>
      <c r="P22" s="400">
        <f t="shared" si="2"/>
        <v>423976229.88000005</v>
      </c>
      <c r="Q22" s="401">
        <f t="shared" si="2"/>
        <v>160437554.22000003</v>
      </c>
    </row>
    <row r="23" spans="1:17" ht="15.95" customHeight="1" x14ac:dyDescent="0.2">
      <c r="A23" s="71"/>
      <c r="B23" s="73"/>
      <c r="C23" s="73"/>
      <c r="D23" s="213"/>
      <c r="E23" s="91"/>
      <c r="F23" s="73"/>
      <c r="G23" s="73"/>
      <c r="H23" s="73"/>
      <c r="I23" s="213"/>
      <c r="J23" s="71"/>
      <c r="K23" s="73"/>
      <c r="L23" s="71"/>
      <c r="M23" s="91"/>
      <c r="N23" s="71"/>
      <c r="O23" s="73"/>
      <c r="P23" s="213"/>
    </row>
    <row r="24" spans="1:17" ht="15.95" customHeight="1" x14ac:dyDescent="0.2">
      <c r="A24" s="71"/>
      <c r="B24" s="73"/>
      <c r="C24" s="73"/>
      <c r="D24" s="213"/>
      <c r="E24" s="91"/>
      <c r="F24" s="73"/>
      <c r="G24" s="73"/>
      <c r="H24" s="73"/>
      <c r="I24" s="213"/>
      <c r="J24" s="71"/>
      <c r="K24" s="73"/>
      <c r="L24" s="71"/>
      <c r="M24" s="91"/>
      <c r="N24" s="71"/>
      <c r="O24" s="73"/>
      <c r="P24" s="213"/>
    </row>
    <row r="25" spans="1:17" ht="15.95" customHeight="1" thickBot="1" x14ac:dyDescent="0.25">
      <c r="A25" s="92"/>
      <c r="B25" s="73"/>
      <c r="C25" s="93"/>
      <c r="D25" s="213"/>
      <c r="E25" s="213"/>
      <c r="F25" s="73"/>
      <c r="G25" s="73"/>
      <c r="H25" s="73"/>
      <c r="I25" s="213"/>
      <c r="M25" s="381" t="s">
        <v>26</v>
      </c>
      <c r="P25" s="205"/>
    </row>
    <row r="26" spans="1:17" ht="14.45" customHeight="1" x14ac:dyDescent="0.2">
      <c r="A26" s="660" t="s">
        <v>2</v>
      </c>
      <c r="B26" s="702" t="s">
        <v>224</v>
      </c>
      <c r="C26" s="696"/>
      <c r="D26" s="696"/>
      <c r="E26" s="697"/>
      <c r="F26" s="703" t="s">
        <v>223</v>
      </c>
      <c r="G26" s="696"/>
      <c r="H26" s="696"/>
      <c r="I26" s="697"/>
      <c r="J26" s="704" t="s">
        <v>68</v>
      </c>
      <c r="K26" s="705"/>
      <c r="L26" s="705"/>
      <c r="M26" s="706"/>
      <c r="Q26" s="66"/>
    </row>
    <row r="27" spans="1:17" ht="14.45" customHeight="1" thickBot="1" x14ac:dyDescent="0.25">
      <c r="A27" s="661"/>
      <c r="B27" s="699"/>
      <c r="C27" s="699"/>
      <c r="D27" s="699"/>
      <c r="E27" s="700"/>
      <c r="F27" s="698"/>
      <c r="G27" s="699"/>
      <c r="H27" s="699"/>
      <c r="I27" s="700"/>
      <c r="J27" s="707"/>
      <c r="K27" s="708"/>
      <c r="L27" s="708"/>
      <c r="M27" s="709"/>
      <c r="Q27" s="66"/>
    </row>
    <row r="28" spans="1:17" ht="13.5" customHeight="1" x14ac:dyDescent="0.2">
      <c r="A28" s="661"/>
      <c r="B28" s="473"/>
      <c r="C28" s="473"/>
      <c r="D28" s="474"/>
      <c r="E28" s="721" t="s">
        <v>226</v>
      </c>
      <c r="F28" s="473"/>
      <c r="G28" s="473"/>
      <c r="H28" s="474"/>
      <c r="I28" s="721" t="s">
        <v>226</v>
      </c>
      <c r="J28" s="485"/>
      <c r="K28" s="486"/>
      <c r="L28" s="486"/>
      <c r="M28" s="721" t="s">
        <v>226</v>
      </c>
      <c r="Q28" s="66"/>
    </row>
    <row r="29" spans="1:17" ht="13.5" customHeight="1" thickBot="1" x14ac:dyDescent="0.25">
      <c r="A29" s="662"/>
      <c r="B29" s="475" t="s">
        <v>152</v>
      </c>
      <c r="C29" s="475" t="s">
        <v>179</v>
      </c>
      <c r="D29" s="476" t="s">
        <v>195</v>
      </c>
      <c r="E29" s="722"/>
      <c r="F29" s="475" t="s">
        <v>152</v>
      </c>
      <c r="G29" s="475" t="s">
        <v>179</v>
      </c>
      <c r="H29" s="476" t="s">
        <v>195</v>
      </c>
      <c r="I29" s="722"/>
      <c r="J29" s="487" t="s">
        <v>152</v>
      </c>
      <c r="K29" s="487" t="s">
        <v>179</v>
      </c>
      <c r="L29" s="487" t="s">
        <v>195</v>
      </c>
      <c r="M29" s="722"/>
      <c r="Q29" s="66"/>
    </row>
    <row r="30" spans="1:17" ht="17.100000000000001" customHeight="1" x14ac:dyDescent="0.2">
      <c r="A30" s="386" t="s">
        <v>7</v>
      </c>
      <c r="B30" s="477">
        <v>46010065.100000001</v>
      </c>
      <c r="C30" s="477">
        <v>60557922.520000003</v>
      </c>
      <c r="D30" s="477">
        <v>48404110.170000002</v>
      </c>
      <c r="E30" s="478">
        <f>45063409.89+8992410.77</f>
        <v>54055820.659999996</v>
      </c>
      <c r="F30" s="477">
        <v>400740891.81999999</v>
      </c>
      <c r="G30" s="477">
        <v>466700647.34999996</v>
      </c>
      <c r="H30" s="477">
        <v>461611710.56</v>
      </c>
      <c r="I30" s="478">
        <f>411359782.08+33104290.21</f>
        <v>444464072.28999996</v>
      </c>
      <c r="J30" s="488">
        <f>B10+F10+J10+N10+B30+F30</f>
        <v>623919431.04999995</v>
      </c>
      <c r="K30" s="489">
        <f>C10+G10+K10+O10+C30+G30</f>
        <v>725249801.49000001</v>
      </c>
      <c r="L30" s="489">
        <f>D10+H10+L10+P10+D30+H30</f>
        <v>721774125.79999995</v>
      </c>
      <c r="M30" s="478">
        <f>E10+I10+M10+Q10+E30+I30</f>
        <v>717989634.18999994</v>
      </c>
      <c r="O30" s="412"/>
      <c r="Q30" s="66"/>
    </row>
    <row r="31" spans="1:17" ht="17.100000000000001" customHeight="1" x14ac:dyDescent="0.2">
      <c r="A31" s="390" t="s">
        <v>8</v>
      </c>
      <c r="B31" s="480">
        <v>16235712.719999999</v>
      </c>
      <c r="C31" s="480">
        <v>23188640.960000001</v>
      </c>
      <c r="D31" s="480">
        <v>20833760.890000001</v>
      </c>
      <c r="E31" s="481">
        <f>10072410.5+6793752.3</f>
        <v>16866162.800000001</v>
      </c>
      <c r="F31" s="480">
        <v>491911563.79999995</v>
      </c>
      <c r="G31" s="480">
        <v>518619536.76999998</v>
      </c>
      <c r="H31" s="480">
        <v>519858482.94</v>
      </c>
      <c r="I31" s="481">
        <f>512247548.73+23061238.01</f>
        <v>535308786.74000001</v>
      </c>
      <c r="J31" s="490">
        <f t="shared" ref="J31:M41" si="3">B11+F11+J11+N11+B31+F31</f>
        <v>646965827.43999994</v>
      </c>
      <c r="K31" s="489">
        <f t="shared" si="3"/>
        <v>731242193.18999994</v>
      </c>
      <c r="L31" s="489">
        <f t="shared" si="3"/>
        <v>738950232.79999995</v>
      </c>
      <c r="M31" s="478">
        <f t="shared" si="3"/>
        <v>755389680.31000006</v>
      </c>
      <c r="O31" s="412"/>
      <c r="Q31" s="66"/>
    </row>
    <row r="32" spans="1:17" ht="17.100000000000001" customHeight="1" x14ac:dyDescent="0.2">
      <c r="A32" s="390" t="s">
        <v>9</v>
      </c>
      <c r="B32" s="480">
        <v>325749039.32999998</v>
      </c>
      <c r="C32" s="480">
        <v>408539839.23000002</v>
      </c>
      <c r="D32" s="480">
        <v>473487135.99000001</v>
      </c>
      <c r="E32" s="481">
        <f>13313754.76+327434761.32</f>
        <v>340748516.07999998</v>
      </c>
      <c r="F32" s="480">
        <v>226972169.84</v>
      </c>
      <c r="G32" s="480">
        <v>307173715.31999999</v>
      </c>
      <c r="H32" s="480">
        <v>314344991</v>
      </c>
      <c r="I32" s="481">
        <f>290916988.15+20712375.15</f>
        <v>311629363.29999995</v>
      </c>
      <c r="J32" s="490">
        <f t="shared" si="3"/>
        <v>665899794.28999996</v>
      </c>
      <c r="K32" s="489">
        <f t="shared" si="3"/>
        <v>875426373.0999999</v>
      </c>
      <c r="L32" s="489">
        <f t="shared" si="3"/>
        <v>963231318.96000004</v>
      </c>
      <c r="M32" s="478">
        <f t="shared" si="3"/>
        <v>853604256</v>
      </c>
      <c r="O32" s="412"/>
      <c r="Q32" s="66"/>
    </row>
    <row r="33" spans="1:17" ht="17.100000000000001" customHeight="1" x14ac:dyDescent="0.2">
      <c r="A33" s="390" t="s">
        <v>10</v>
      </c>
      <c r="B33" s="480">
        <v>86353663.849999994</v>
      </c>
      <c r="C33" s="480">
        <v>94407435.609999999</v>
      </c>
      <c r="D33" s="480">
        <v>71955674.989999995</v>
      </c>
      <c r="E33" s="481">
        <f>186085380.51+15153078.14</f>
        <v>201238458.64999998</v>
      </c>
      <c r="F33" s="480">
        <v>350419050.11000001</v>
      </c>
      <c r="G33" s="480">
        <v>342134315.88</v>
      </c>
      <c r="H33" s="480">
        <v>351116449.84000003</v>
      </c>
      <c r="I33" s="481">
        <f>328546593.43+28342697.95</f>
        <v>356889291.38</v>
      </c>
      <c r="J33" s="490">
        <f t="shared" si="3"/>
        <v>541994530.45000005</v>
      </c>
      <c r="K33" s="489">
        <f t="shared" si="3"/>
        <v>569104840.21000004</v>
      </c>
      <c r="L33" s="489">
        <f t="shared" si="3"/>
        <v>569392490</v>
      </c>
      <c r="M33" s="478">
        <f t="shared" si="3"/>
        <v>725947308.38999999</v>
      </c>
      <c r="O33" s="412"/>
      <c r="Q33" s="66"/>
    </row>
    <row r="34" spans="1:17" ht="17.100000000000001" customHeight="1" x14ac:dyDescent="0.2">
      <c r="A34" s="390" t="s">
        <v>11</v>
      </c>
      <c r="B34" s="480">
        <v>44828663.789999999</v>
      </c>
      <c r="C34" s="480">
        <v>53120381.079999998</v>
      </c>
      <c r="D34" s="480">
        <v>61161808.859999999</v>
      </c>
      <c r="E34" s="481">
        <f>37941136.41+30225734.82</f>
        <v>68166871.229999989</v>
      </c>
      <c r="F34" s="480">
        <v>538314846.14999998</v>
      </c>
      <c r="G34" s="480">
        <v>566016826.93999994</v>
      </c>
      <c r="H34" s="480">
        <v>477436504.19</v>
      </c>
      <c r="I34" s="481">
        <f>478875665.39+24577907.24</f>
        <v>503453572.63</v>
      </c>
      <c r="J34" s="490">
        <f t="shared" si="3"/>
        <v>705545517.49000001</v>
      </c>
      <c r="K34" s="489">
        <f t="shared" si="3"/>
        <v>781596921.56999993</v>
      </c>
      <c r="L34" s="489">
        <f t="shared" si="3"/>
        <v>721428530.96000004</v>
      </c>
      <c r="M34" s="478">
        <f t="shared" si="3"/>
        <v>760470575.45000005</v>
      </c>
      <c r="O34" s="412"/>
      <c r="Q34" s="66"/>
    </row>
    <row r="35" spans="1:17" ht="17.100000000000001" customHeight="1" x14ac:dyDescent="0.2">
      <c r="A35" s="390" t="s">
        <v>12</v>
      </c>
      <c r="B35" s="480">
        <v>354087847.23000002</v>
      </c>
      <c r="C35" s="480">
        <v>426100665.89999998</v>
      </c>
      <c r="D35" s="480">
        <v>369545839.65999997</v>
      </c>
      <c r="E35" s="481">
        <f>1188614.11</f>
        <v>1188614.1100000001</v>
      </c>
      <c r="F35" s="480">
        <v>352175365.78000003</v>
      </c>
      <c r="G35" s="480">
        <v>361203427.33000004</v>
      </c>
      <c r="H35" s="480">
        <v>409299030.06999999</v>
      </c>
      <c r="I35" s="481">
        <f>390022710.82</f>
        <v>390022710.81999999</v>
      </c>
      <c r="J35" s="490">
        <f t="shared" si="3"/>
        <v>865763389.45000005</v>
      </c>
      <c r="K35" s="489">
        <f>C15+G15+K15+O15+C35+G35</f>
        <v>980215890.58000004</v>
      </c>
      <c r="L35" s="489">
        <f t="shared" si="3"/>
        <v>979004242.1099999</v>
      </c>
      <c r="M35" s="478">
        <f t="shared" si="3"/>
        <v>485312675.13999999</v>
      </c>
      <c r="O35" s="412"/>
      <c r="Q35" s="66"/>
    </row>
    <row r="36" spans="1:17" ht="17.100000000000001" customHeight="1" x14ac:dyDescent="0.2">
      <c r="A36" s="378" t="s">
        <v>13</v>
      </c>
      <c r="B36" s="480">
        <v>549130259.65999997</v>
      </c>
      <c r="C36" s="480">
        <v>893783543.14999998</v>
      </c>
      <c r="D36" s="480">
        <v>606257758.67000008</v>
      </c>
      <c r="E36" s="481">
        <v>0</v>
      </c>
      <c r="F36" s="480">
        <v>459375582.63</v>
      </c>
      <c r="G36" s="480">
        <v>460204035.65999997</v>
      </c>
      <c r="H36" s="480">
        <v>427251377.31999999</v>
      </c>
      <c r="I36" s="481">
        <v>0</v>
      </c>
      <c r="J36" s="490">
        <f t="shared" si="3"/>
        <v>1225026472.9699998</v>
      </c>
      <c r="K36" s="489">
        <f t="shared" si="3"/>
        <v>1597096630.2999997</v>
      </c>
      <c r="L36" s="489">
        <f t="shared" si="3"/>
        <v>1304368874.8600001</v>
      </c>
      <c r="M36" s="478">
        <f t="shared" si="3"/>
        <v>0</v>
      </c>
      <c r="O36" s="412"/>
      <c r="Q36" s="66"/>
    </row>
    <row r="37" spans="1:17" ht="17.100000000000001" customHeight="1" x14ac:dyDescent="0.2">
      <c r="A37" s="378" t="s">
        <v>14</v>
      </c>
      <c r="B37" s="480">
        <v>0</v>
      </c>
      <c r="C37" s="480">
        <v>0</v>
      </c>
      <c r="D37" s="480">
        <v>0</v>
      </c>
      <c r="E37" s="481">
        <v>0</v>
      </c>
      <c r="F37" s="480">
        <v>516763487.87</v>
      </c>
      <c r="G37" s="480">
        <v>544575065.66999996</v>
      </c>
      <c r="H37" s="480">
        <v>498803415.19999999</v>
      </c>
      <c r="I37" s="481">
        <v>0</v>
      </c>
      <c r="J37" s="490">
        <f t="shared" si="3"/>
        <v>678033873.00999999</v>
      </c>
      <c r="K37" s="489">
        <f t="shared" si="3"/>
        <v>741378134.51999998</v>
      </c>
      <c r="L37" s="489">
        <f t="shared" si="3"/>
        <v>711240327.3499999</v>
      </c>
      <c r="M37" s="478">
        <f t="shared" si="3"/>
        <v>0</v>
      </c>
      <c r="Q37" s="66"/>
    </row>
    <row r="38" spans="1:17" ht="17.100000000000001" customHeight="1" x14ac:dyDescent="0.2">
      <c r="A38" s="390" t="s">
        <v>15</v>
      </c>
      <c r="B38" s="480">
        <v>348363871.19999999</v>
      </c>
      <c r="C38" s="480">
        <v>351968612.04000002</v>
      </c>
      <c r="D38" s="480">
        <v>230914580.38</v>
      </c>
      <c r="E38" s="481">
        <v>0</v>
      </c>
      <c r="F38" s="480">
        <v>334725348.94999999</v>
      </c>
      <c r="G38" s="480">
        <v>301801268.64999998</v>
      </c>
      <c r="H38" s="480">
        <v>363645824.90999997</v>
      </c>
      <c r="I38" s="481">
        <v>0</v>
      </c>
      <c r="J38" s="490">
        <f t="shared" si="3"/>
        <v>872586119.6500001</v>
      </c>
      <c r="K38" s="489">
        <f t="shared" si="3"/>
        <v>846731560.52999997</v>
      </c>
      <c r="L38" s="489">
        <f t="shared" si="3"/>
        <v>796626957.23999989</v>
      </c>
      <c r="M38" s="478">
        <f t="shared" si="3"/>
        <v>0</v>
      </c>
      <c r="Q38" s="66"/>
    </row>
    <row r="39" spans="1:17" ht="17.100000000000001" customHeight="1" x14ac:dyDescent="0.2">
      <c r="A39" s="378" t="s">
        <v>16</v>
      </c>
      <c r="B39" s="480">
        <v>65873947.880000003</v>
      </c>
      <c r="C39" s="480">
        <v>92361393.890000001</v>
      </c>
      <c r="D39" s="480">
        <v>233924189.49000001</v>
      </c>
      <c r="E39" s="481">
        <v>0</v>
      </c>
      <c r="F39" s="480">
        <v>417596662.25</v>
      </c>
      <c r="G39" s="480">
        <v>382529016.94999999</v>
      </c>
      <c r="H39" s="480">
        <v>402524910.64999998</v>
      </c>
      <c r="I39" s="481">
        <v>0</v>
      </c>
      <c r="J39" s="490">
        <f t="shared" si="3"/>
        <v>645611218.51999998</v>
      </c>
      <c r="K39" s="489">
        <f t="shared" si="3"/>
        <v>656625774.20000005</v>
      </c>
      <c r="L39" s="489">
        <f t="shared" si="3"/>
        <v>847728268.89999998</v>
      </c>
      <c r="M39" s="478">
        <f t="shared" si="3"/>
        <v>0</v>
      </c>
      <c r="Q39" s="66"/>
    </row>
    <row r="40" spans="1:17" ht="17.100000000000001" customHeight="1" x14ac:dyDescent="0.2">
      <c r="A40" s="378" t="s">
        <v>17</v>
      </c>
      <c r="B40" s="480">
        <v>6600879.3600000003</v>
      </c>
      <c r="C40" s="480">
        <v>79358060.210000008</v>
      </c>
      <c r="D40" s="480">
        <v>27125794.530000001</v>
      </c>
      <c r="E40" s="481">
        <v>0</v>
      </c>
      <c r="F40" s="480">
        <v>604857975.34000003</v>
      </c>
      <c r="G40" s="480">
        <v>535469886.17000002</v>
      </c>
      <c r="H40" s="480">
        <v>556476924.52999997</v>
      </c>
      <c r="I40" s="481">
        <v>0</v>
      </c>
      <c r="J40" s="490">
        <f t="shared" si="3"/>
        <v>784327957.75</v>
      </c>
      <c r="K40" s="489">
        <f t="shared" si="3"/>
        <v>819858852.82999992</v>
      </c>
      <c r="L40" s="489">
        <f t="shared" si="3"/>
        <v>791116648.79999995</v>
      </c>
      <c r="M40" s="478">
        <f t="shared" si="3"/>
        <v>0</v>
      </c>
      <c r="Q40" s="66"/>
    </row>
    <row r="41" spans="1:17" ht="17.100000000000001" customHeight="1" thickBot="1" x14ac:dyDescent="0.25">
      <c r="A41" s="393" t="s">
        <v>18</v>
      </c>
      <c r="B41" s="482">
        <v>400617189.49000001</v>
      </c>
      <c r="C41" s="482">
        <v>469787204.96999997</v>
      </c>
      <c r="D41" s="482">
        <v>482513561.91000003</v>
      </c>
      <c r="E41" s="483">
        <v>0</v>
      </c>
      <c r="F41" s="482">
        <v>404815568.54999995</v>
      </c>
      <c r="G41" s="482">
        <v>529980211.92000002</v>
      </c>
      <c r="H41" s="482">
        <v>489146464.08999997</v>
      </c>
      <c r="I41" s="483">
        <v>0</v>
      </c>
      <c r="J41" s="491">
        <f t="shared" si="3"/>
        <v>1037500982.9299999</v>
      </c>
      <c r="K41" s="489">
        <f t="shared" si="3"/>
        <v>1251869068.6099999</v>
      </c>
      <c r="L41" s="489">
        <f t="shared" si="3"/>
        <v>1238332129.9200001</v>
      </c>
      <c r="M41" s="492">
        <f t="shared" si="3"/>
        <v>0</v>
      </c>
      <c r="Q41" s="66"/>
    </row>
    <row r="42" spans="1:17" ht="21" customHeight="1" thickBot="1" x14ac:dyDescent="0.25">
      <c r="A42" s="397" t="s">
        <v>19</v>
      </c>
      <c r="B42" s="399">
        <f t="shared" ref="B42:D42" si="4">SUM(B30:B41)</f>
        <v>2243851139.6099997</v>
      </c>
      <c r="C42" s="399">
        <f t="shared" si="4"/>
        <v>2953173699.5599999</v>
      </c>
      <c r="D42" s="400">
        <f t="shared" si="4"/>
        <v>2626124215.54</v>
      </c>
      <c r="E42" s="401">
        <f t="shared" ref="E42:L42" si="5">SUM(E30:E41)</f>
        <v>682264443.52999997</v>
      </c>
      <c r="F42" s="402">
        <f t="shared" si="5"/>
        <v>5098668513.0900002</v>
      </c>
      <c r="G42" s="399">
        <f t="shared" si="5"/>
        <v>5316407954.6099997</v>
      </c>
      <c r="H42" s="400">
        <f t="shared" si="5"/>
        <v>5271516085.3000002</v>
      </c>
      <c r="I42" s="401">
        <f t="shared" si="5"/>
        <v>2541767797.1600003</v>
      </c>
      <c r="J42" s="408">
        <f>SUM(J30:J41)</f>
        <v>9293175115</v>
      </c>
      <c r="K42" s="409">
        <f t="shared" si="5"/>
        <v>10576396041.129999</v>
      </c>
      <c r="L42" s="409">
        <f t="shared" si="5"/>
        <v>10383194147.699999</v>
      </c>
      <c r="M42" s="401">
        <f>E22+I22+M22+Q22+E42+I42</f>
        <v>4298714129.4800005</v>
      </c>
      <c r="Q42" s="66"/>
    </row>
    <row r="43" spans="1:17" x14ac:dyDescent="0.2">
      <c r="A43" s="92"/>
      <c r="B43" s="73"/>
      <c r="C43" s="73"/>
      <c r="D43" s="73"/>
      <c r="E43" s="213"/>
      <c r="F43" s="73"/>
      <c r="G43" s="73"/>
      <c r="H43" s="73"/>
      <c r="I43" s="213"/>
      <c r="J43" s="71"/>
      <c r="K43" s="73"/>
      <c r="L43" s="73"/>
      <c r="M43" s="213"/>
      <c r="N43" s="73"/>
      <c r="O43" s="73"/>
      <c r="P43" s="73"/>
    </row>
  </sheetData>
  <mergeCells count="19">
    <mergeCell ref="A1:Q1"/>
    <mergeCell ref="A2:Q2"/>
    <mergeCell ref="A4:Q4"/>
    <mergeCell ref="A6:A9"/>
    <mergeCell ref="B6:E7"/>
    <mergeCell ref="F6:I7"/>
    <mergeCell ref="J6:M7"/>
    <mergeCell ref="N6:Q7"/>
    <mergeCell ref="E8:E9"/>
    <mergeCell ref="I8:I9"/>
    <mergeCell ref="M8:M9"/>
    <mergeCell ref="Q8:Q9"/>
    <mergeCell ref="A26:A29"/>
    <mergeCell ref="B26:E27"/>
    <mergeCell ref="F26:I27"/>
    <mergeCell ref="J26:M27"/>
    <mergeCell ref="E28:E29"/>
    <mergeCell ref="I28:I29"/>
    <mergeCell ref="M28:M29"/>
  </mergeCells>
  <pageMargins left="0.51181102362204722" right="0.51181102362204722" top="0.51181102362204722" bottom="0.51181102362204722" header="0.31496062992125984" footer="0.31496062992125984"/>
  <pageSetup paperSize="9"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7">
    <tabColor theme="1" tint="0.14999847407452621"/>
    <pageSetUpPr fitToPage="1"/>
  </sheetPr>
  <dimension ref="A1:N48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M1"/>
    </sheetView>
  </sheetViews>
  <sheetFormatPr defaultColWidth="9.140625" defaultRowHeight="12.75" x14ac:dyDescent="0.2"/>
  <cols>
    <col min="1" max="1" width="8.7109375" style="66" customWidth="1"/>
    <col min="2" max="7" width="12.5703125" style="66" customWidth="1"/>
    <col min="8" max="8" width="13.5703125" style="66" bestFit="1" customWidth="1"/>
    <col min="9" max="13" width="12.570312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85" t="s">
        <v>44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12.75" customHeight="1" x14ac:dyDescent="0.3">
      <c r="A2" s="587"/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72" t="s">
        <v>26</v>
      </c>
      <c r="N3" s="73"/>
    </row>
    <row r="4" spans="1:14" ht="13.5" customHeight="1" x14ac:dyDescent="0.2">
      <c r="A4" s="567" t="s">
        <v>2</v>
      </c>
      <c r="B4" s="588" t="s">
        <v>27</v>
      </c>
      <c r="C4" s="571"/>
      <c r="D4" s="572"/>
      <c r="E4" s="589" t="s">
        <v>28</v>
      </c>
      <c r="F4" s="571"/>
      <c r="G4" s="572"/>
      <c r="H4" s="590" t="s">
        <v>29</v>
      </c>
      <c r="I4" s="571"/>
      <c r="J4" s="572"/>
      <c r="K4" s="591" t="s">
        <v>30</v>
      </c>
      <c r="L4" s="571"/>
      <c r="M4" s="572"/>
      <c r="N4" s="73"/>
    </row>
    <row r="5" spans="1:14" ht="13.5" customHeight="1" thickBot="1" x14ac:dyDescent="0.25">
      <c r="A5" s="568"/>
      <c r="B5" s="573"/>
      <c r="C5" s="574"/>
      <c r="D5" s="575"/>
      <c r="E5" s="573"/>
      <c r="F5" s="574"/>
      <c r="G5" s="575"/>
      <c r="H5" s="573"/>
      <c r="I5" s="574"/>
      <c r="J5" s="575"/>
      <c r="K5" s="573"/>
      <c r="L5" s="574"/>
      <c r="M5" s="575"/>
      <c r="N5" s="71"/>
    </row>
    <row r="6" spans="1:14" x14ac:dyDescent="0.2">
      <c r="A6" s="568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55" t="s">
        <v>5</v>
      </c>
      <c r="I6" s="557" t="s">
        <v>31</v>
      </c>
      <c r="J6" s="559" t="s">
        <v>32</v>
      </c>
      <c r="K6" s="584" t="s">
        <v>6</v>
      </c>
      <c r="L6" s="557" t="s">
        <v>31</v>
      </c>
      <c r="M6" s="559" t="s">
        <v>32</v>
      </c>
    </row>
    <row r="7" spans="1:14" ht="13.5" thickBot="1" x14ac:dyDescent="0.25">
      <c r="A7" s="569"/>
      <c r="B7" s="556"/>
      <c r="C7" s="558"/>
      <c r="D7" s="560"/>
      <c r="E7" s="556"/>
      <c r="F7" s="558"/>
      <c r="G7" s="560"/>
      <c r="H7" s="556"/>
      <c r="I7" s="558"/>
      <c r="J7" s="560"/>
      <c r="K7" s="556"/>
      <c r="L7" s="558"/>
      <c r="M7" s="560"/>
    </row>
    <row r="8" spans="1:14" x14ac:dyDescent="0.2">
      <c r="A8" s="74" t="s">
        <v>7</v>
      </c>
      <c r="B8" s="75">
        <f>69409787.65+92423012</f>
        <v>161832799.65000001</v>
      </c>
      <c r="C8" s="76">
        <f>C20/12</f>
        <v>96436083.333333328</v>
      </c>
      <c r="D8" s="77">
        <f>B8-C8</f>
        <v>65396716.316666678</v>
      </c>
      <c r="E8" s="78">
        <f>4550836.7+6434298</f>
        <v>10985134.699999999</v>
      </c>
      <c r="F8" s="76">
        <f>F20/12</f>
        <v>6427833.333333333</v>
      </c>
      <c r="G8" s="77">
        <f>E8-F8</f>
        <v>4557301.3666666662</v>
      </c>
      <c r="H8" s="78">
        <f>5354495.79</f>
        <v>5354495.79</v>
      </c>
      <c r="I8" s="76">
        <f>I20/12</f>
        <v>1347666.6666666667</v>
      </c>
      <c r="J8" s="79">
        <f>H8-I8</f>
        <v>4006829.1233333331</v>
      </c>
      <c r="K8" s="78">
        <f>7548877.16+489779</f>
        <v>8038656.1600000001</v>
      </c>
      <c r="L8" s="76">
        <f>L20/12</f>
        <v>1234250</v>
      </c>
      <c r="M8" s="79">
        <f>K8-L8</f>
        <v>6804406.1600000001</v>
      </c>
    </row>
    <row r="9" spans="1:14" x14ac:dyDescent="0.2">
      <c r="A9" s="80" t="s">
        <v>8</v>
      </c>
      <c r="B9" s="81">
        <f>32602448.44+58629395</f>
        <v>91231843.439999998</v>
      </c>
      <c r="C9" s="82">
        <f>C8*2</f>
        <v>192872166.66666666</v>
      </c>
      <c r="D9" s="77">
        <f>SUM(B8+B9)-C9</f>
        <v>60192476.423333347</v>
      </c>
      <c r="E9" s="75">
        <f>2269715+4081657</f>
        <v>6351372</v>
      </c>
      <c r="F9" s="82">
        <f>F8*2</f>
        <v>12855666.666666666</v>
      </c>
      <c r="G9" s="77">
        <f>SUM(E8+E9)-F9</f>
        <v>4480840.0333333332</v>
      </c>
      <c r="H9" s="75">
        <f>0.31+1413+5554+5982+1498.5</f>
        <v>14447.81</v>
      </c>
      <c r="I9" s="82">
        <f>I8*2</f>
        <v>2695333.3333333335</v>
      </c>
      <c r="J9" s="77">
        <f>SUM(H8+H9)-I9</f>
        <v>2673610.2666666661</v>
      </c>
      <c r="K9" s="81">
        <f>548245.81+571341</f>
        <v>1119586.81</v>
      </c>
      <c r="L9" s="82">
        <f>L8*2</f>
        <v>2468500</v>
      </c>
      <c r="M9" s="77">
        <f>SUM(K8+K9)-L9</f>
        <v>6689742.9700000007</v>
      </c>
    </row>
    <row r="10" spans="1:14" x14ac:dyDescent="0.2">
      <c r="A10" s="80" t="s">
        <v>9</v>
      </c>
      <c r="B10" s="81">
        <f>35062963.7+45655129.49</f>
        <v>80718093.189999998</v>
      </c>
      <c r="C10" s="82">
        <f>C8*3</f>
        <v>289308250</v>
      </c>
      <c r="D10" s="77">
        <f>SUM(B8+B9+B10)-C10</f>
        <v>44474486.279999971</v>
      </c>
      <c r="E10" s="75">
        <f>2441011.31+3178415.48</f>
        <v>5619426.79</v>
      </c>
      <c r="F10" s="83">
        <f>F8*3</f>
        <v>19283500</v>
      </c>
      <c r="G10" s="77">
        <f>SUM(E8+E9+E10)-F10</f>
        <v>3672433.4899999984</v>
      </c>
      <c r="H10" s="75">
        <f>587007.88+648190.15+637</f>
        <v>1235835.03</v>
      </c>
      <c r="I10" s="83">
        <f>I8*3</f>
        <v>4043000</v>
      </c>
      <c r="J10" s="77">
        <f>SUM(H8+H9+H10)-I10</f>
        <v>2561778.63</v>
      </c>
      <c r="K10" s="81">
        <f>1047048.27+2037262.68</f>
        <v>3084310.95</v>
      </c>
      <c r="L10" s="83">
        <f>L8*3</f>
        <v>3702750</v>
      </c>
      <c r="M10" s="77">
        <f>SUM(K8+K9+K10)-L10</f>
        <v>8539803.9200000018</v>
      </c>
    </row>
    <row r="11" spans="1:14" x14ac:dyDescent="0.2">
      <c r="A11" s="80" t="s">
        <v>10</v>
      </c>
      <c r="B11" s="81">
        <f>26517392.12+36589783.76</f>
        <v>63107175.879999995</v>
      </c>
      <c r="C11" s="82">
        <f>C8*4</f>
        <v>385744333.33333331</v>
      </c>
      <c r="D11" s="77">
        <f>SUM(B8+B9+B10+B11)-C11</f>
        <v>11145578.826666653</v>
      </c>
      <c r="E11" s="75">
        <f>1846085.89+2547304.92</f>
        <v>4393390.8099999996</v>
      </c>
      <c r="F11" s="82">
        <f>F8*4</f>
        <v>25711333.333333332</v>
      </c>
      <c r="G11" s="77">
        <f>SUM(E8+E9+E10+E11)-F11</f>
        <v>1637990.9666666649</v>
      </c>
      <c r="H11" s="75">
        <f>3338+467.4+150</f>
        <v>3955.4</v>
      </c>
      <c r="I11" s="82">
        <f>I8*4</f>
        <v>5390666.666666667</v>
      </c>
      <c r="J11" s="77">
        <f>SUM(H8+H9+H10+H11)-I11</f>
        <v>1218067.3633333333</v>
      </c>
      <c r="K11" s="81">
        <v>0</v>
      </c>
      <c r="L11" s="82">
        <f>L8*4</f>
        <v>4937000</v>
      </c>
      <c r="M11" s="77">
        <f>SUM(K8+K9+K10+K11)-L11</f>
        <v>7305553.9200000018</v>
      </c>
    </row>
    <row r="12" spans="1:14" x14ac:dyDescent="0.2">
      <c r="A12" s="80" t="s">
        <v>11</v>
      </c>
      <c r="B12" s="136">
        <f>23560036.52+58510541.03</f>
        <v>82070577.549999997</v>
      </c>
      <c r="C12" s="82">
        <f>C8*5</f>
        <v>482180416.66666663</v>
      </c>
      <c r="D12" s="77">
        <f>SUM(B8+B9+B10+B11+B12)-C12</f>
        <v>-3219926.9566666484</v>
      </c>
      <c r="E12" s="137">
        <f>1640200.92+4073382.64</f>
        <v>5713583.5600000005</v>
      </c>
      <c r="F12" s="82">
        <f>F8*5</f>
        <v>32139166.666666664</v>
      </c>
      <c r="G12" s="77">
        <f>SUM(E8+E9+E10+E11+E12)-F12</f>
        <v>923741.19333333522</v>
      </c>
      <c r="H12" s="138">
        <f>1610+693852.14+4880.1</f>
        <v>700342.24</v>
      </c>
      <c r="I12" s="82">
        <f>I8*5</f>
        <v>6738333.333333334</v>
      </c>
      <c r="J12" s="77">
        <f>SUM(H8+H9+H10+H11+H12)-I12</f>
        <v>570742.93666666653</v>
      </c>
      <c r="K12" s="81">
        <v>0</v>
      </c>
      <c r="L12" s="82">
        <f>L8*5</f>
        <v>6171250</v>
      </c>
      <c r="M12" s="77">
        <f>SUM(K8+K9+K10+K11+K12)-L12</f>
        <v>6071303.9200000018</v>
      </c>
    </row>
    <row r="13" spans="1:14" x14ac:dyDescent="0.2">
      <c r="A13" s="80" t="s">
        <v>12</v>
      </c>
      <c r="B13" s="81">
        <f>36305761.67+60517550.69</f>
        <v>96823312.359999999</v>
      </c>
      <c r="C13" s="82">
        <f>C8*6</f>
        <v>578616500</v>
      </c>
      <c r="D13" s="77">
        <f>SUM(B8+B9+B10+B11+B12+B13)-C13</f>
        <v>-2832697.9300000668</v>
      </c>
      <c r="E13" s="75">
        <f>2527531.86+4213106.47</f>
        <v>6740638.3300000001</v>
      </c>
      <c r="F13" s="82">
        <f>F8*6</f>
        <v>38567000</v>
      </c>
      <c r="G13" s="77">
        <f>SUM(E8+E9+E10+E11+E12+E13)-F13</f>
        <v>1236546.1899999976</v>
      </c>
      <c r="H13" s="75">
        <f>1485+2521.92+37421.54+132983.19+2645.76</f>
        <v>177057.41</v>
      </c>
      <c r="I13" s="82">
        <f>I8*6</f>
        <v>8086000</v>
      </c>
      <c r="J13" s="77">
        <f>SUM(H8+H9+H10+H11+H12+H13)-I13</f>
        <v>-599866.31999999937</v>
      </c>
      <c r="K13" s="81">
        <v>0</v>
      </c>
      <c r="L13" s="82">
        <f>L8*6</f>
        <v>7405500</v>
      </c>
      <c r="M13" s="77">
        <f>SUM(K8+K9+K10+K11+K12+K13)-L13</f>
        <v>4837053.9200000018</v>
      </c>
    </row>
    <row r="14" spans="1:14" x14ac:dyDescent="0.2">
      <c r="A14" s="80" t="s">
        <v>13</v>
      </c>
      <c r="B14" s="81">
        <f>41279041.49+47251553.95</f>
        <v>88530595.439999998</v>
      </c>
      <c r="C14" s="82">
        <f>C8*7</f>
        <v>675052583.33333325</v>
      </c>
      <c r="D14" s="77">
        <f>SUM(B8+B9+B10+B11+B12+B13+B14)-C14</f>
        <v>-10738185.823333263</v>
      </c>
      <c r="E14" s="75">
        <f>2896854.22+4333824.21</f>
        <v>7230678.4299999997</v>
      </c>
      <c r="F14" s="82">
        <f>F8*7</f>
        <v>44994833.333333328</v>
      </c>
      <c r="G14" s="77">
        <f>SUM(E8+E9+E10+E11+E12+E13+E14)-F14</f>
        <v>2039391.286666669</v>
      </c>
      <c r="H14" s="75">
        <f>4409.55+5514.2+1082545.06+193132.88+18817.5+1165</f>
        <v>1305584.19</v>
      </c>
      <c r="I14" s="82">
        <f>I8*7</f>
        <v>9433666.6666666679</v>
      </c>
      <c r="J14" s="77">
        <f>SUM(H8+H9+H10+H11+H12+H13+H14)-I14</f>
        <v>-641948.79666666687</v>
      </c>
      <c r="K14" s="81">
        <v>0</v>
      </c>
      <c r="L14" s="82">
        <f>L8*7</f>
        <v>8639750</v>
      </c>
      <c r="M14" s="77">
        <f>SUM(K8+K9+K10+K11+K12+K13+K14)-L14</f>
        <v>3602803.9200000018</v>
      </c>
    </row>
    <row r="15" spans="1:14" x14ac:dyDescent="0.2">
      <c r="A15" s="80" t="s">
        <v>14</v>
      </c>
      <c r="B15" s="81">
        <f>38813809.41+65145959.72</f>
        <v>103959769.13</v>
      </c>
      <c r="C15" s="82">
        <f>C8*8</f>
        <v>771488666.66666663</v>
      </c>
      <c r="D15" s="77">
        <f>SUM(B8+B9+B10+B11+B12+B13+B14+B15)-C15</f>
        <v>-3214500.0266666412</v>
      </c>
      <c r="E15" s="75">
        <f>2702136.95+4535326.74</f>
        <v>7237463.6900000004</v>
      </c>
      <c r="F15" s="82">
        <f>F8*8</f>
        <v>51422666.666666664</v>
      </c>
      <c r="G15" s="77">
        <f>SUM(E8+E9+E10+E11+E12+E13+E14+E15)-F15</f>
        <v>2849021.6433333308</v>
      </c>
      <c r="H15" s="75">
        <f>1359+236.7+3074.4+2353.53</f>
        <v>7023.630000000001</v>
      </c>
      <c r="I15" s="82">
        <f>I8*8</f>
        <v>10781333.333333334</v>
      </c>
      <c r="J15" s="77">
        <f>SUM(H8+H9+H10+H11+H12+H13+H14+H15)-I15</f>
        <v>-1982591.8333333321</v>
      </c>
      <c r="K15" s="81">
        <v>0</v>
      </c>
      <c r="L15" s="82">
        <f>L8*8</f>
        <v>9874000</v>
      </c>
      <c r="M15" s="77">
        <f>SUM(K8+K9+K10+K11+K12+K13+K14+K15)-L15</f>
        <v>2368553.9200000018</v>
      </c>
    </row>
    <row r="16" spans="1:14" x14ac:dyDescent="0.2">
      <c r="A16" s="80" t="s">
        <v>15</v>
      </c>
      <c r="B16" s="81">
        <f>37224287.7+41005397.57</f>
        <v>78229685.270000011</v>
      </c>
      <c r="C16" s="82">
        <f>C8*9</f>
        <v>867924750</v>
      </c>
      <c r="D16" s="77">
        <f>SUM(B8+B9+B10+B11+B12+B13+B14+B15+B16)-C16</f>
        <v>-21420898.090000033</v>
      </c>
      <c r="E16" s="75">
        <f>2591477.75+3340558.92</f>
        <v>5932036.6699999999</v>
      </c>
      <c r="F16" s="82">
        <f>F8*9</f>
        <v>57850500</v>
      </c>
      <c r="G16" s="77">
        <f>SUM(E8+E9+E10+E11+E12+E13+E14+E15+E16)-F16</f>
        <v>2353224.9799999967</v>
      </c>
      <c r="H16" s="75">
        <f>18792+1022382.06+5400.9+4474873.93+1.88</f>
        <v>5521450.7699999996</v>
      </c>
      <c r="I16" s="82">
        <f>I8*9</f>
        <v>12129000</v>
      </c>
      <c r="J16" s="77">
        <f>SUM(H8+H9+H10+H11+H12+H13+H14+H15+H16)-I16</f>
        <v>2191192.2700000014</v>
      </c>
      <c r="K16" s="81">
        <v>0</v>
      </c>
      <c r="L16" s="82">
        <f>L8*9</f>
        <v>11108250</v>
      </c>
      <c r="M16" s="77">
        <f>SUM(K8+K9+K10+K11+K12+K13+K14+K15+K16)-L16</f>
        <v>1134303.9200000018</v>
      </c>
    </row>
    <row r="17" spans="1:14" x14ac:dyDescent="0.2">
      <c r="A17" s="80" t="s">
        <v>16</v>
      </c>
      <c r="B17" s="81">
        <f>40294129.99+59457964.26</f>
        <v>99752094.25</v>
      </c>
      <c r="C17" s="82">
        <f>C8*10</f>
        <v>964360833.33333325</v>
      </c>
      <c r="D17" s="77">
        <f>SUM(B8+B9+B10+B11+B12+B13+B14+B15+B16+B17)-C17</f>
        <v>-18104887.173333287</v>
      </c>
      <c r="E17" s="75">
        <f>2806523.61+4141302.54</f>
        <v>6947826.1500000004</v>
      </c>
      <c r="F17" s="82">
        <f>F8*10</f>
        <v>64278333.333333328</v>
      </c>
      <c r="G17" s="77">
        <f>SUM(E8+E9+E10+E11+E12+E13+E14+E15+E16+E17)-F17</f>
        <v>2873217.7966666669</v>
      </c>
      <c r="H17" s="75">
        <f>5873927.81+1953.3+556520.75+1631.1</f>
        <v>6434032.959999999</v>
      </c>
      <c r="I17" s="82">
        <f>I8*10</f>
        <v>13476666.666666668</v>
      </c>
      <c r="J17" s="77">
        <f>SUM(H8+H9+H10+H11+H12+H13+H14+H15+H16+H17)-I17</f>
        <v>7277558.5633333325</v>
      </c>
      <c r="K17" s="81">
        <v>0</v>
      </c>
      <c r="L17" s="82">
        <f>L8*10</f>
        <v>12342500</v>
      </c>
      <c r="M17" s="77">
        <f>SUM(K8+K9+K10+K11+K12+K13+K14+K15+K16+K17)-L17</f>
        <v>-99946.079999998212</v>
      </c>
    </row>
    <row r="18" spans="1:14" x14ac:dyDescent="0.2">
      <c r="A18" s="80" t="s">
        <v>17</v>
      </c>
      <c r="B18" s="81">
        <f>36263893.4+64316149.72</f>
        <v>100580043.12</v>
      </c>
      <c r="C18" s="82">
        <f>C8*11</f>
        <v>1060796916.6666666</v>
      </c>
      <c r="D18" s="77">
        <f>SUM(B8+B9+B10+B11+B12+B13+B14+B15+B16+B17+B18)-C18</f>
        <v>-13960927.386666656</v>
      </c>
      <c r="E18" s="75">
        <f>2525813.9+4514498.18</f>
        <v>7040312.0800000001</v>
      </c>
      <c r="F18" s="82">
        <f>F8*11</f>
        <v>70706166.666666657</v>
      </c>
      <c r="G18" s="77">
        <f>SUM(E8+E9+E10+E11+E12+E13+E14+E15+E16+E17+E18)-F18</f>
        <v>3485696.5433333367</v>
      </c>
      <c r="H18" s="75">
        <f>2811.01+6270+1593+4881</f>
        <v>15555.01</v>
      </c>
      <c r="I18" s="82">
        <f>I8*11</f>
        <v>14824333.333333334</v>
      </c>
      <c r="J18" s="77">
        <f>SUM(H8+H9+H10+H11+H12+H13+H14+H15+H16+H17+H18)-I18</f>
        <v>5945446.9066666681</v>
      </c>
      <c r="K18" s="81">
        <v>0</v>
      </c>
      <c r="L18" s="82">
        <f>L8*11</f>
        <v>13576750</v>
      </c>
      <c r="M18" s="77">
        <f>SUM(K8+K9+K10+K11+K12+K13+K14+K15+K16+K17+K18)-L18</f>
        <v>-1334196.0799999982</v>
      </c>
    </row>
    <row r="19" spans="1:14" ht="13.5" thickBot="1" x14ac:dyDescent="0.25">
      <c r="A19" s="150" t="s">
        <v>18</v>
      </c>
      <c r="B19" s="140">
        <f>37965705+72070679.27</f>
        <v>110036384.27</v>
      </c>
      <c r="C19" s="141">
        <f>C8*12</f>
        <v>1157233000</v>
      </c>
      <c r="D19" s="77">
        <f>SUM(B8+B9+B10+B11+B12+B13+B14+B15+B16+B17+B18+B19)-C19</f>
        <v>-360626.45000004768</v>
      </c>
      <c r="E19" s="142">
        <f>2644346.67+5019789.8</f>
        <v>7664136.4699999997</v>
      </c>
      <c r="F19" s="141">
        <f>F8*12</f>
        <v>77134000</v>
      </c>
      <c r="G19" s="77">
        <f>SUM(E8+E9+E10+E11+E12+E13+E14+E15+E16+E17+E18+E19)-F19</f>
        <v>4721999.6799999923</v>
      </c>
      <c r="H19" s="142">
        <f>72972.52+3656.2+55964.9+10211898.68</f>
        <v>10344492.299999999</v>
      </c>
      <c r="I19" s="141">
        <f>I8*12</f>
        <v>16172000</v>
      </c>
      <c r="J19" s="77">
        <f>SUM(H8+H9+H10+H11+H12+H13+H14+H15+H16+H17+H18+H19)-I19</f>
        <v>14942272.539999999</v>
      </c>
      <c r="K19" s="140">
        <f>6439640.3</f>
        <v>6439640.2999999998</v>
      </c>
      <c r="L19" s="141">
        <f>L8*12</f>
        <v>14811000</v>
      </c>
      <c r="M19" s="77">
        <f>SUM(K8+K9+K10+K11+K12+K13+K14+K15+K16+K17+K18+K19)-L19</f>
        <v>3871194.2200000025</v>
      </c>
    </row>
    <row r="20" spans="1:14" ht="13.5" thickBot="1" x14ac:dyDescent="0.25">
      <c r="A20" s="86" t="s">
        <v>19</v>
      </c>
      <c r="B20" s="129">
        <f>SUM(B8:B19)</f>
        <v>1156872373.55</v>
      </c>
      <c r="C20" s="87">
        <v>1157233000</v>
      </c>
      <c r="D20" s="88"/>
      <c r="E20" s="129">
        <f>SUM(E8:E19)</f>
        <v>81855999.679999992</v>
      </c>
      <c r="F20" s="87">
        <v>77134000</v>
      </c>
      <c r="G20" s="89"/>
      <c r="H20" s="129">
        <f>SUM(H8:H19)</f>
        <v>31114272.539999999</v>
      </c>
      <c r="I20" s="87">
        <v>16172000</v>
      </c>
      <c r="J20" s="89"/>
      <c r="K20" s="129">
        <f>SUM(K8:K19)</f>
        <v>18682194.220000003</v>
      </c>
      <c r="L20" s="87">
        <v>14811000</v>
      </c>
      <c r="M20" s="89"/>
    </row>
    <row r="21" spans="1:14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4" x14ac:dyDescent="0.2">
      <c r="A22" s="71"/>
      <c r="B22" s="73"/>
      <c r="C22" s="73"/>
      <c r="D22" s="90"/>
      <c r="E22" s="90"/>
      <c r="F22" s="73"/>
      <c r="G22" s="73"/>
      <c r="H22" s="71"/>
      <c r="I22" s="73"/>
      <c r="J22" s="91"/>
      <c r="K22" s="71"/>
      <c r="L22" s="73"/>
      <c r="M22" s="71"/>
    </row>
    <row r="23" spans="1:14" ht="13.5" thickBot="1" x14ac:dyDescent="0.25">
      <c r="A23" s="92"/>
      <c r="B23" s="73"/>
      <c r="C23" s="93"/>
      <c r="D23" s="73"/>
      <c r="E23" s="73"/>
      <c r="F23" s="73"/>
      <c r="G23" s="73"/>
      <c r="M23" s="94" t="s">
        <v>26</v>
      </c>
    </row>
    <row r="24" spans="1:14" x14ac:dyDescent="0.2">
      <c r="A24" s="567" t="s">
        <v>2</v>
      </c>
      <c r="B24" s="570" t="s">
        <v>36</v>
      </c>
      <c r="C24" s="571"/>
      <c r="D24" s="572"/>
      <c r="E24" s="576" t="s">
        <v>20</v>
      </c>
      <c r="F24" s="577"/>
      <c r="G24" s="578"/>
      <c r="H24" s="582" t="s">
        <v>21</v>
      </c>
      <c r="I24" s="577"/>
      <c r="J24" s="578"/>
      <c r="K24" s="583" t="s">
        <v>22</v>
      </c>
      <c r="L24" s="577"/>
      <c r="M24" s="578"/>
    </row>
    <row r="25" spans="1:14" ht="13.5" thickBot="1" x14ac:dyDescent="0.25">
      <c r="A25" s="568"/>
      <c r="B25" s="573"/>
      <c r="C25" s="574"/>
      <c r="D25" s="575"/>
      <c r="E25" s="579"/>
      <c r="F25" s="580"/>
      <c r="G25" s="581"/>
      <c r="H25" s="579"/>
      <c r="I25" s="580"/>
      <c r="J25" s="581"/>
      <c r="K25" s="579"/>
      <c r="L25" s="580"/>
      <c r="M25" s="581"/>
    </row>
    <row r="26" spans="1:14" ht="12.75" customHeight="1" x14ac:dyDescent="0.2">
      <c r="A26" s="568"/>
      <c r="B26" s="584" t="s">
        <v>23</v>
      </c>
      <c r="C26" s="557" t="s">
        <v>31</v>
      </c>
      <c r="D26" s="559" t="s">
        <v>32</v>
      </c>
      <c r="E26" s="563" t="s">
        <v>24</v>
      </c>
      <c r="F26" s="557" t="s">
        <v>31</v>
      </c>
      <c r="G26" s="559" t="s">
        <v>32</v>
      </c>
      <c r="H26" s="563" t="s">
        <v>25</v>
      </c>
      <c r="I26" s="557" t="s">
        <v>31</v>
      </c>
      <c r="J26" s="559" t="s">
        <v>32</v>
      </c>
      <c r="K26" s="566" t="s">
        <v>19</v>
      </c>
      <c r="L26" s="557" t="s">
        <v>31</v>
      </c>
      <c r="M26" s="559" t="s">
        <v>32</v>
      </c>
      <c r="N26" s="553" t="s">
        <v>37</v>
      </c>
    </row>
    <row r="27" spans="1:14" ht="13.5" thickBot="1" x14ac:dyDescent="0.25">
      <c r="A27" s="569"/>
      <c r="B27" s="556"/>
      <c r="C27" s="558"/>
      <c r="D27" s="560"/>
      <c r="E27" s="564"/>
      <c r="F27" s="558"/>
      <c r="G27" s="560"/>
      <c r="H27" s="564"/>
      <c r="I27" s="565"/>
      <c r="J27" s="560"/>
      <c r="K27" s="556"/>
      <c r="L27" s="558"/>
      <c r="M27" s="560"/>
      <c r="N27" s="554"/>
    </row>
    <row r="28" spans="1:14" x14ac:dyDescent="0.2">
      <c r="A28" s="95" t="s">
        <v>7</v>
      </c>
      <c r="B28" s="78">
        <f>7350781.78+4728126</f>
        <v>12078907.780000001</v>
      </c>
      <c r="C28" s="76">
        <f>C40/12</f>
        <v>11086666.666666666</v>
      </c>
      <c r="D28" s="79">
        <f>B28-C28</f>
        <v>992241.11333333515</v>
      </c>
      <c r="E28" s="96">
        <f>189148341.01+6212767</f>
        <v>195361108.00999999</v>
      </c>
      <c r="F28" s="76">
        <f>F40/12</f>
        <v>101473000</v>
      </c>
      <c r="G28" s="79">
        <f>E28-F28</f>
        <v>93888108.00999999</v>
      </c>
      <c r="H28" s="97">
        <f>216722319.14+16438346</f>
        <v>233160665.13999999</v>
      </c>
      <c r="I28" s="98">
        <f>I40/12</f>
        <v>201220833.33333334</v>
      </c>
      <c r="J28" s="99">
        <f>H28-I28</f>
        <v>31939831.806666642</v>
      </c>
      <c r="K28" s="130">
        <f>SUM($B8+$E8+$H8+$K8+$B28+$E28+$H28)</f>
        <v>626811767.23000002</v>
      </c>
      <c r="L28" s="98">
        <f>L40/12</f>
        <v>419226333.33333331</v>
      </c>
      <c r="M28" s="100">
        <f>K28-L28</f>
        <v>207585433.89666671</v>
      </c>
      <c r="N28" s="101">
        <f>M28/L40</f>
        <v>4.1263596254820727E-2</v>
      </c>
    </row>
    <row r="29" spans="1:14" x14ac:dyDescent="0.2">
      <c r="A29" s="102" t="s">
        <v>8</v>
      </c>
      <c r="B29" s="81">
        <f>17386233.52+3816315</f>
        <v>21202548.52</v>
      </c>
      <c r="C29" s="82">
        <f>C28*2</f>
        <v>22173333.333333332</v>
      </c>
      <c r="D29" s="77">
        <f>SUM(B28+B29)-C29</f>
        <v>11108122.966666669</v>
      </c>
      <c r="E29" s="103">
        <f>3105006.73+4665684</f>
        <v>7770690.7300000004</v>
      </c>
      <c r="F29" s="82">
        <f>F28*2</f>
        <v>202946000</v>
      </c>
      <c r="G29" s="77">
        <f>SUM(E28+E29)-F29</f>
        <v>185798.73999997973</v>
      </c>
      <c r="H29" s="104">
        <f>390581000.36+4807294</f>
        <v>395388294.36000001</v>
      </c>
      <c r="I29" s="83">
        <f>I28*2</f>
        <v>402441666.66666669</v>
      </c>
      <c r="J29" s="77">
        <f>SUM(H28+H29)-I29</f>
        <v>226107292.83333331</v>
      </c>
      <c r="K29" s="85">
        <f t="shared" ref="K29:K40" si="0">SUM($B9+$E9+$H9+$K9+$B29+$E29+$H29)</f>
        <v>523078783.67000002</v>
      </c>
      <c r="L29" s="83">
        <f>L28*2</f>
        <v>838452666.66666663</v>
      </c>
      <c r="M29" s="77">
        <f>SUM(K28+K29)-L29</f>
        <v>311437884.23333347</v>
      </c>
      <c r="N29" s="105">
        <f>M29/L40</f>
        <v>6.1907268117169297E-2</v>
      </c>
    </row>
    <row r="30" spans="1:14" x14ac:dyDescent="0.2">
      <c r="A30" s="102" t="s">
        <v>9</v>
      </c>
      <c r="B30" s="81">
        <f>3225761.85+3361901.49</f>
        <v>6587663.3399999999</v>
      </c>
      <c r="C30" s="83">
        <f>C28*3</f>
        <v>33260000</v>
      </c>
      <c r="D30" s="77">
        <f>SUM(B28+B29+B30)-C30</f>
        <v>6609119.6400000006</v>
      </c>
      <c r="E30" s="106">
        <f>1918101.08+215758249.71</f>
        <v>217676350.79000002</v>
      </c>
      <c r="F30" s="83">
        <f>F28*3</f>
        <v>304419000</v>
      </c>
      <c r="G30" s="77">
        <f>SUM(E28+E29+E30)-F30</f>
        <v>116389149.52999997</v>
      </c>
      <c r="H30" s="104">
        <f>52887773.57+1108631.7</f>
        <v>53996405.270000003</v>
      </c>
      <c r="I30" s="83">
        <f>I28*3</f>
        <v>603662500</v>
      </c>
      <c r="J30" s="77">
        <f>SUM(H28+H29+H30)-I30</f>
        <v>78882864.769999981</v>
      </c>
      <c r="K30" s="84">
        <f t="shared" si="0"/>
        <v>368918085.36000001</v>
      </c>
      <c r="L30" s="83">
        <f>L28*3</f>
        <v>1257679000</v>
      </c>
      <c r="M30" s="77">
        <f>SUM(K28+K29+K30)-L30</f>
        <v>261129636.26000023</v>
      </c>
      <c r="N30" s="105">
        <f>M30/L40</f>
        <v>5.1907051851068559E-2</v>
      </c>
    </row>
    <row r="31" spans="1:14" x14ac:dyDescent="0.2">
      <c r="A31" s="102" t="s">
        <v>10</v>
      </c>
      <c r="B31" s="81">
        <f>3888157.44+3369913.09</f>
        <v>7258070.5299999993</v>
      </c>
      <c r="C31" s="82">
        <f>C28*4</f>
        <v>44346666.666666664</v>
      </c>
      <c r="D31" s="77">
        <f>SUM(B28+B29+B30+B31)-C31</f>
        <v>2780523.5033333376</v>
      </c>
      <c r="E31" s="103">
        <f>38928723.24+13021084.07</f>
        <v>51949807.310000002</v>
      </c>
      <c r="F31" s="82">
        <f>F28*4</f>
        <v>405892000</v>
      </c>
      <c r="G31" s="77">
        <f>SUM(E28+E29+E30+E31)-F31</f>
        <v>66865956.839999974</v>
      </c>
      <c r="H31" s="107">
        <f>154047728.04</f>
        <v>154047728.03999999</v>
      </c>
      <c r="I31" s="82">
        <f>I28*4</f>
        <v>804883333.33333337</v>
      </c>
      <c r="J31" s="77">
        <f>SUM(H28+H29+H30+H31)-I31</f>
        <v>31709759.47666657</v>
      </c>
      <c r="K31" s="84">
        <f t="shared" si="0"/>
        <v>280760127.97000003</v>
      </c>
      <c r="L31" s="82">
        <f>L28*4</f>
        <v>1676905333.3333333</v>
      </c>
      <c r="M31" s="77">
        <f>SUM(K28+K29+K30+K31)-L31</f>
        <v>122663430.896667</v>
      </c>
      <c r="N31" s="105">
        <f>M31/L40</f>
        <v>2.4382897165466506E-2</v>
      </c>
    </row>
    <row r="32" spans="1:14" x14ac:dyDescent="0.2">
      <c r="A32" s="102" t="s">
        <v>11</v>
      </c>
      <c r="B32" s="136">
        <f>5703896.75+3191432.15</f>
        <v>8895328.9000000004</v>
      </c>
      <c r="C32" s="82">
        <f>C28*5</f>
        <v>55433333.333333328</v>
      </c>
      <c r="D32" s="77">
        <f>SUM(B28+B29+B30+B31+B32)-C32</f>
        <v>589185.73666667193</v>
      </c>
      <c r="E32" s="106">
        <v>0</v>
      </c>
      <c r="F32" s="82">
        <f>F28*5</f>
        <v>507365000</v>
      </c>
      <c r="G32" s="77">
        <f>SUM(E28+E29+E30+E31+E32)-F32</f>
        <v>-34607043.160000026</v>
      </c>
      <c r="H32" s="139">
        <f>263016842.81+5152363.38</f>
        <v>268169206.19</v>
      </c>
      <c r="I32" s="82">
        <f>I28*5</f>
        <v>1006104166.6666667</v>
      </c>
      <c r="J32" s="77">
        <f>SUM(H28+H29+H30+H31+H32)-I32</f>
        <v>98658132.333333254</v>
      </c>
      <c r="K32" s="84">
        <f t="shared" si="0"/>
        <v>365549038.44</v>
      </c>
      <c r="L32" s="82">
        <f>L28*5</f>
        <v>2096131666.6666665</v>
      </c>
      <c r="M32" s="77">
        <f>SUM(K28+K29+K30+K31+K32)-L32</f>
        <v>68986136.003333569</v>
      </c>
      <c r="N32" s="105">
        <f>M32/L40</f>
        <v>1.3712985587604939E-2</v>
      </c>
    </row>
    <row r="33" spans="1:14" x14ac:dyDescent="0.2">
      <c r="A33" s="102" t="s">
        <v>12</v>
      </c>
      <c r="B33" s="81">
        <f>5045566.73+3820886.3</f>
        <v>8866453.0300000012</v>
      </c>
      <c r="C33" s="82">
        <f>C28*6</f>
        <v>66520000</v>
      </c>
      <c r="D33" s="77">
        <f>SUM(B28+B29+B30+B31+B32+B33)-C33</f>
        <v>-1631027.8999999985</v>
      </c>
      <c r="E33" s="103">
        <f>3703072.19+124941953.21</f>
        <v>128645025.39999999</v>
      </c>
      <c r="F33" s="82">
        <f>F28*6</f>
        <v>608838000</v>
      </c>
      <c r="G33" s="77">
        <f>SUM(E28+E29+E30+E31+E32+E33)-F33</f>
        <v>-7435017.7599999905</v>
      </c>
      <c r="H33" s="107">
        <f>167245110.71</f>
        <v>167245110.71000001</v>
      </c>
      <c r="I33" s="82">
        <f>I28*6</f>
        <v>1207325000</v>
      </c>
      <c r="J33" s="77">
        <f>SUM(H28+H29+H30+H31+H32+H33)-I33</f>
        <v>64682409.710000038</v>
      </c>
      <c r="K33" s="84">
        <f t="shared" si="0"/>
        <v>408497597.24000001</v>
      </c>
      <c r="L33" s="82">
        <f>L28*6</f>
        <v>2515358000</v>
      </c>
      <c r="M33" s="77">
        <f>SUM(K28+K29+K30+K31+K32+K33)-L33</f>
        <v>58257399.909999847</v>
      </c>
      <c r="N33" s="105">
        <f>M33/L40</f>
        <v>1.158033963952643E-2</v>
      </c>
    </row>
    <row r="34" spans="1:14" x14ac:dyDescent="0.2">
      <c r="A34" s="102" t="s">
        <v>13</v>
      </c>
      <c r="B34" s="81">
        <f>4939444.13+4699444.83</f>
        <v>9638888.9600000009</v>
      </c>
      <c r="C34" s="82">
        <f>C28*7</f>
        <v>77606666.666666657</v>
      </c>
      <c r="D34" s="77">
        <f>SUM(B28+B29+B30+B31+B32+B33+B34)-C34</f>
        <v>-3078805.6066666543</v>
      </c>
      <c r="E34" s="106">
        <f>221403130.83+87813785.65</f>
        <v>309216916.48000002</v>
      </c>
      <c r="F34" s="82">
        <f>F28*7</f>
        <v>710311000</v>
      </c>
      <c r="G34" s="77">
        <f>SUM(E28+E29+E30+E31+E32+E33+E34)-F34</f>
        <v>200308898.72000003</v>
      </c>
      <c r="H34" s="107">
        <f>179441301.18+1226483.05</f>
        <v>180667784.23000002</v>
      </c>
      <c r="I34" s="82">
        <f>I28*7</f>
        <v>1408545833.3333335</v>
      </c>
      <c r="J34" s="77">
        <f>SUM(H28+H29+H30+H31+H32+H33+H34)-I34</f>
        <v>44129360.606666565</v>
      </c>
      <c r="K34" s="84">
        <f t="shared" si="0"/>
        <v>596590447.73000002</v>
      </c>
      <c r="L34" s="82">
        <f>L28*7</f>
        <v>2934584333.333333</v>
      </c>
      <c r="M34" s="77">
        <f>SUM(K28+K29+K30+K31+K32+K33+K34)-L34</f>
        <v>235621514.30666685</v>
      </c>
      <c r="N34" s="105">
        <f>M34/L40</f>
        <v>4.6836576405161187E-2</v>
      </c>
    </row>
    <row r="35" spans="1:14" x14ac:dyDescent="0.2">
      <c r="A35" s="102" t="s">
        <v>14</v>
      </c>
      <c r="B35" s="81">
        <f>6716653.5+3609006.09</f>
        <v>10325659.59</v>
      </c>
      <c r="C35" s="82">
        <f>C28*8</f>
        <v>88693333.333333328</v>
      </c>
      <c r="D35" s="77">
        <f>SUM(B28+B29+B30+B31+B32+B33+B34+B35)-C35</f>
        <v>-3839812.6833333224</v>
      </c>
      <c r="E35" s="103">
        <v>0</v>
      </c>
      <c r="F35" s="82">
        <f>F28*8</f>
        <v>811784000</v>
      </c>
      <c r="G35" s="77">
        <f>SUM(E28+E29+E30+E31+E32+E33+E34+E35)-F35</f>
        <v>98835898.720000029</v>
      </c>
      <c r="H35" s="107">
        <f>260096434.98+1513168.42</f>
        <v>261609603.39999998</v>
      </c>
      <c r="I35" s="82">
        <f>I28*8</f>
        <v>1609766666.6666667</v>
      </c>
      <c r="J35" s="77">
        <f>SUM(H28+H29+H30+H31+H32+H33+H34+H35)-I35</f>
        <v>104518130.67333341</v>
      </c>
      <c r="K35" s="84">
        <f t="shared" si="0"/>
        <v>383139519.43999994</v>
      </c>
      <c r="L35" s="82">
        <f>L28*8</f>
        <v>3353810666.6666665</v>
      </c>
      <c r="M35" s="77">
        <f>SUM(K28+K29+K30+K31+K32+K33+K34+K35)-L35</f>
        <v>199534700.41333342</v>
      </c>
      <c r="N35" s="105">
        <f>M35/L40</f>
        <v>3.9663280617179227E-2</v>
      </c>
    </row>
    <row r="36" spans="1:14" x14ac:dyDescent="0.2">
      <c r="A36" s="102" t="s">
        <v>15</v>
      </c>
      <c r="B36" s="81">
        <f>5043222.29+5292436.16</f>
        <v>10335658.449999999</v>
      </c>
      <c r="C36" s="82">
        <f>C28*9</f>
        <v>99780000</v>
      </c>
      <c r="D36" s="77">
        <f>SUM(B28+B29+B30+B31+B32+B33+B34+B35+B36)-C36</f>
        <v>-4590820.8999999911</v>
      </c>
      <c r="E36" s="106">
        <f>49536232.88</f>
        <v>49536232.880000003</v>
      </c>
      <c r="F36" s="82">
        <f>F28*9</f>
        <v>913257000</v>
      </c>
      <c r="G36" s="77">
        <f>SUM(E28+E29+E30+E31+E32+E33+E34+E35+E36)-F36</f>
        <v>46899131.600000024</v>
      </c>
      <c r="H36" s="107">
        <f>174236818.54</f>
        <v>174236818.53999999</v>
      </c>
      <c r="I36" s="82">
        <f>I28*9</f>
        <v>1810987500</v>
      </c>
      <c r="J36" s="77">
        <f>SUM(H28+H29+H30+H31+H32+H33+H34+H35+H36)-I36</f>
        <v>77534115.880000114</v>
      </c>
      <c r="K36" s="84">
        <f t="shared" si="0"/>
        <v>323791882.58000004</v>
      </c>
      <c r="L36" s="82">
        <f>L28*9</f>
        <v>3773037000</v>
      </c>
      <c r="M36" s="77">
        <f>SUM(K28+K29+K30+K31+K32+K33+K34+K35+K36)-L36</f>
        <v>104100249.65999985</v>
      </c>
      <c r="N36" s="105">
        <f>M36/L40</f>
        <v>2.0692929129769968E-2</v>
      </c>
    </row>
    <row r="37" spans="1:14" x14ac:dyDescent="0.2">
      <c r="A37" s="102" t="s">
        <v>16</v>
      </c>
      <c r="B37" s="81">
        <f>6043596.7+4006058.58</f>
        <v>10049655.280000001</v>
      </c>
      <c r="C37" s="82">
        <f>C28*10</f>
        <v>110866666.66666666</v>
      </c>
      <c r="D37" s="77">
        <f>SUM(B28+B29+B30+B31+B32+B33+B34+B35+B36+B37)-C37</f>
        <v>-5627832.2866666466</v>
      </c>
      <c r="E37" s="103">
        <f>131755746.11+3383293.67</f>
        <v>135139039.78</v>
      </c>
      <c r="F37" s="82">
        <f>F28*10</f>
        <v>1014730000</v>
      </c>
      <c r="G37" s="77">
        <f>SUM(E28+E29+E30+E31+E32+E33+E34+E35+E36+E37)-F37</f>
        <v>80565171.380000114</v>
      </c>
      <c r="H37" s="107">
        <f>175473196.13+1291683.56</f>
        <v>176764879.69</v>
      </c>
      <c r="I37" s="82">
        <f>I28*10</f>
        <v>2012208333.3333335</v>
      </c>
      <c r="J37" s="77">
        <f>SUM(H28+H29+H30+H31+H32+H33+H34+H35+H36+H37)-I37</f>
        <v>53078162.236666679</v>
      </c>
      <c r="K37" s="84">
        <f t="shared" si="0"/>
        <v>435087528.11000001</v>
      </c>
      <c r="L37" s="82">
        <f>L28*10</f>
        <v>4192263333.333333</v>
      </c>
      <c r="M37" s="77">
        <f>SUM(K28+K29+K30+K31+K32+K33+K34+K35+K36+K37)-L37</f>
        <v>119961444.43666649</v>
      </c>
      <c r="N37" s="105">
        <f>M37/L40</f>
        <v>2.3845799372627374E-2</v>
      </c>
    </row>
    <row r="38" spans="1:14" x14ac:dyDescent="0.2">
      <c r="A38" s="102" t="s">
        <v>17</v>
      </c>
      <c r="B38" s="81">
        <f>5993723.56+3823803.99</f>
        <v>9817527.5500000007</v>
      </c>
      <c r="C38" s="82">
        <f>C28*11</f>
        <v>121953333.33333333</v>
      </c>
      <c r="D38" s="77">
        <f>SUM(B28+B29+B30+B31+B32+B33+B34+B35+B36+B37+B38)-C38</f>
        <v>-6896971.4033333212</v>
      </c>
      <c r="E38" s="103">
        <f>812220.11+1552041.11</f>
        <v>2364261.2200000002</v>
      </c>
      <c r="F38" s="82">
        <f>F28*11</f>
        <v>1116203000</v>
      </c>
      <c r="G38" s="77">
        <f>SUM(E28+E29+E30+E31+E32+E33+E34+E35+E36+E37+E38)-F38</f>
        <v>-18543567.399999857</v>
      </c>
      <c r="H38" s="107">
        <f>287912786.74+2255759.56</f>
        <v>290168546.30000001</v>
      </c>
      <c r="I38" s="82">
        <f>I28*11</f>
        <v>2213429166.666667</v>
      </c>
      <c r="J38" s="77">
        <f>SUM(H28+H29+H30+H31+H32+H33+H34+H35+H36+H37+H38)-I38</f>
        <v>142025875.20333338</v>
      </c>
      <c r="K38" s="84">
        <f t="shared" si="0"/>
        <v>409986245.28000003</v>
      </c>
      <c r="L38" s="82">
        <f>L28*11</f>
        <v>4611489666.666666</v>
      </c>
      <c r="M38" s="77">
        <f>SUM(K28+K29+K30+K31+K32+K33+K34+K35+K36+K37+K38)-L38</f>
        <v>110721356.38333321</v>
      </c>
      <c r="N38" s="105">
        <f>M38/L40</f>
        <v>2.2009065187407362E-2</v>
      </c>
    </row>
    <row r="39" spans="1:14" ht="13.5" thickBot="1" x14ac:dyDescent="0.25">
      <c r="A39" s="149" t="s">
        <v>18</v>
      </c>
      <c r="B39" s="143">
        <f>3687108.48+4278284.55</f>
        <v>7965393.0299999993</v>
      </c>
      <c r="C39" s="141">
        <f>C28*12</f>
        <v>133040000</v>
      </c>
      <c r="D39" s="77">
        <f>SUM(B28+B29+B30+B31+B32+B33+B34+B35+B36+B37+B38+B39)-C39</f>
        <v>-10018245.039999992</v>
      </c>
      <c r="E39" s="144">
        <f>4443372.35+116723429.58</f>
        <v>121166801.92999999</v>
      </c>
      <c r="F39" s="141">
        <f>F28*12</f>
        <v>1217676000</v>
      </c>
      <c r="G39" s="145">
        <f>SUM(E28+E29+E30+E31+E32+E33+E34+E35+E36+E37+E38+E39)-F39</f>
        <v>1150234.5300002098</v>
      </c>
      <c r="H39" s="146">
        <f>225226903.67</f>
        <v>225226903.66999999</v>
      </c>
      <c r="I39" s="141">
        <f>I28*12</f>
        <v>2414650000</v>
      </c>
      <c r="J39" s="77">
        <f>SUM(H28+H29+H30+H31+H32+H33+H34+H35+H36+H37+H38+H39)-I39</f>
        <v>166031945.54000044</v>
      </c>
      <c r="K39" s="131">
        <f t="shared" si="0"/>
        <v>488843751.97000003</v>
      </c>
      <c r="L39" s="147">
        <f>L28*12</f>
        <v>5030716000</v>
      </c>
      <c r="M39" s="148">
        <f>SUM(K28+K29+K30+K31+K32+K33+K34+K35+K36+K37+K38+K39)-L39</f>
        <v>180338775.0199995</v>
      </c>
      <c r="N39" s="105">
        <f>M39/L40</f>
        <v>3.584753641827515E-2</v>
      </c>
    </row>
    <row r="40" spans="1:14" ht="13.5" thickBot="1" x14ac:dyDescent="0.25">
      <c r="A40" s="86" t="s">
        <v>19</v>
      </c>
      <c r="B40" s="129">
        <f>SUM(B28:B39)</f>
        <v>123021754.96000001</v>
      </c>
      <c r="C40" s="87">
        <v>133040000</v>
      </c>
      <c r="D40" s="89"/>
      <c r="E40" s="133">
        <f>SUM(E28:E39)</f>
        <v>1218826234.5300002</v>
      </c>
      <c r="F40" s="108">
        <v>1217676000</v>
      </c>
      <c r="G40" s="109"/>
      <c r="H40" s="129">
        <f>SUM(H28:H39)</f>
        <v>2580681945.5400004</v>
      </c>
      <c r="I40" s="87">
        <v>2414650000</v>
      </c>
      <c r="J40" s="110"/>
      <c r="K40" s="132">
        <f t="shared" si="0"/>
        <v>5211054775.0200005</v>
      </c>
      <c r="L40" s="111">
        <f>SUM(F20+I20+L20+O20+F40+I40+C20+C40)</f>
        <v>5030716000</v>
      </c>
      <c r="M40" s="112"/>
      <c r="N40" s="113"/>
    </row>
    <row r="41" spans="1:14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4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4" x14ac:dyDescent="0.2">
      <c r="K43" s="114"/>
      <c r="L43" s="115"/>
    </row>
    <row r="44" spans="1:14" x14ac:dyDescent="0.2">
      <c r="K44" s="114"/>
    </row>
    <row r="45" spans="1:14" x14ac:dyDescent="0.2">
      <c r="K45" s="114"/>
    </row>
    <row r="46" spans="1:14" x14ac:dyDescent="0.2">
      <c r="K46" s="114"/>
    </row>
    <row r="48" spans="1:14" x14ac:dyDescent="0.2">
      <c r="K48" s="116"/>
    </row>
  </sheetData>
  <mergeCells count="38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B24:D25"/>
    <mergeCell ref="E24:G25"/>
    <mergeCell ref="H24:J25"/>
    <mergeCell ref="K24:M25"/>
    <mergeCell ref="B26:B27"/>
    <mergeCell ref="C26:C27"/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78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C0A6-E150-444A-B28A-428FEA85A6D1}">
  <sheetPr>
    <tabColor theme="5" tint="-0.499984740745262"/>
  </sheetPr>
  <dimension ref="A1:S64"/>
  <sheetViews>
    <sheetView showGridLines="0" view="pageBreakPreview" zoomScale="160" zoomScaleNormal="160" zoomScaleSheetLayoutView="160" workbookViewId="0">
      <selection activeCell="I81" sqref="I8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512" t="s">
        <v>227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451"/>
      <c r="Q1" s="451"/>
      <c r="R1" s="452"/>
      <c r="S1" s="452"/>
    </row>
    <row r="2" spans="1:19" ht="19.5" x14ac:dyDescent="0.3">
      <c r="A2" s="686" t="s">
        <v>230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5" spans="1:19" ht="12.75" customHeight="1" x14ac:dyDescent="0.2"/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1:19" ht="12.75" customHeight="1" x14ac:dyDescent="0.2"/>
    <row r="34" spans="1:19" ht="12.75" customHeight="1" x14ac:dyDescent="0.2"/>
    <row r="35" spans="1:19" ht="12.75" customHeight="1" x14ac:dyDescent="0.2"/>
    <row r="36" spans="1:19" ht="12.75" customHeight="1" x14ac:dyDescent="0.2"/>
    <row r="37" spans="1:19" ht="12.75" customHeight="1" x14ac:dyDescent="0.2"/>
    <row r="38" spans="1:19" ht="6" customHeight="1" x14ac:dyDescent="0.2"/>
    <row r="39" spans="1:19" ht="12.75" customHeight="1" x14ac:dyDescent="0.2">
      <c r="I39" s="472" t="s">
        <v>35</v>
      </c>
      <c r="K39" s="60"/>
    </row>
    <row r="40" spans="1:19" ht="12.75" customHeight="1" x14ac:dyDescent="0.2">
      <c r="K40" s="60"/>
    </row>
    <row r="41" spans="1:19" ht="28.5" x14ac:dyDescent="0.45">
      <c r="A41" s="512" t="s">
        <v>228</v>
      </c>
      <c r="B41" s="685"/>
      <c r="C41" s="685"/>
      <c r="D41" s="685"/>
      <c r="E41" s="685"/>
      <c r="F41" s="685"/>
      <c r="G41" s="685"/>
      <c r="H41" s="685"/>
      <c r="I41" s="685"/>
      <c r="J41" s="685"/>
      <c r="K41" s="685"/>
      <c r="L41" s="685"/>
      <c r="M41" s="685"/>
      <c r="N41" s="685"/>
      <c r="O41" s="685"/>
      <c r="P41" s="452"/>
      <c r="Q41" s="452"/>
      <c r="R41" s="452"/>
      <c r="S41" s="452"/>
    </row>
    <row r="42" spans="1:19" ht="19.5" x14ac:dyDescent="0.3">
      <c r="A42" s="686" t="s">
        <v>230</v>
      </c>
      <c r="B42" s="687"/>
      <c r="C42" s="687"/>
      <c r="D42" s="687"/>
      <c r="E42" s="687"/>
      <c r="F42" s="687"/>
      <c r="G42" s="687"/>
      <c r="H42" s="687"/>
      <c r="I42" s="687"/>
      <c r="J42" s="687"/>
      <c r="K42" s="687"/>
      <c r="L42" s="687"/>
      <c r="M42" s="687"/>
      <c r="N42" s="687"/>
      <c r="O42" s="687"/>
      <c r="P42"/>
      <c r="Q42"/>
      <c r="R42"/>
      <c r="S42"/>
    </row>
    <row r="43" spans="1:19" ht="12.75" customHeight="1" x14ac:dyDescent="0.2"/>
    <row r="64" spans="11:19" x14ac:dyDescent="0.2">
      <c r="K64" s="632"/>
      <c r="L64" s="633"/>
      <c r="M64" s="633"/>
      <c r="N64" s="633"/>
      <c r="O64" s="633"/>
      <c r="P64" s="633"/>
      <c r="Q64" s="633"/>
      <c r="R64" s="633"/>
      <c r="S64" s="633"/>
    </row>
  </sheetData>
  <mergeCells count="5">
    <mergeCell ref="A1:O1"/>
    <mergeCell ref="A2:O2"/>
    <mergeCell ref="A41:O41"/>
    <mergeCell ref="A42:O42"/>
    <mergeCell ref="K64:S64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40" max="1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8">
    <tabColor theme="1" tint="0.14999847407452621"/>
  </sheetPr>
  <dimension ref="A1:S49"/>
  <sheetViews>
    <sheetView showGridLines="0" zoomScaleNormal="100" workbookViewId="0">
      <selection activeCell="V57" sqref="V57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45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12.75" customHeight="1" x14ac:dyDescent="0.3">
      <c r="B2" s="587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92"/>
      <c r="P2" s="592"/>
      <c r="Q2" s="592"/>
      <c r="R2" s="592"/>
      <c r="S2" s="592"/>
    </row>
    <row r="3" spans="1:19" ht="12.75" customHeight="1" x14ac:dyDescent="0.25">
      <c r="A3" s="59"/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46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  <row r="49" spans="2:19" ht="12.75" customHeight="1" x14ac:dyDescent="0.3">
      <c r="B49" s="587"/>
      <c r="C49" s="586"/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92"/>
      <c r="P49" s="592"/>
      <c r="Q49" s="592"/>
      <c r="R49" s="592"/>
      <c r="S49" s="592"/>
    </row>
  </sheetData>
  <mergeCells count="4">
    <mergeCell ref="B1:S1"/>
    <mergeCell ref="B48:S48"/>
    <mergeCell ref="B2:S2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9">
    <tabColor theme="1" tint="0.14999847407452621"/>
    <pageSetUpPr fitToPage="1"/>
  </sheetPr>
  <dimension ref="A1:N48"/>
  <sheetViews>
    <sheetView showGridLines="0" zoomScaleNormal="100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D37" sqref="D37"/>
    </sheetView>
  </sheetViews>
  <sheetFormatPr defaultColWidth="9.140625" defaultRowHeight="12.75" x14ac:dyDescent="0.2"/>
  <cols>
    <col min="1" max="1" width="8.7109375" style="66" customWidth="1"/>
    <col min="2" max="7" width="12.5703125" style="66" customWidth="1"/>
    <col min="8" max="8" width="13.5703125" style="66" bestFit="1" customWidth="1"/>
    <col min="9" max="13" width="12.570312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85" t="s">
        <v>47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4" ht="12.75" customHeight="1" x14ac:dyDescent="0.3">
      <c r="A2" s="587"/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3.5" customHeight="1" x14ac:dyDescent="0.2">
      <c r="A4" s="567" t="s">
        <v>2</v>
      </c>
      <c r="B4" s="588" t="s">
        <v>27</v>
      </c>
      <c r="C4" s="571"/>
      <c r="D4" s="572"/>
      <c r="E4" s="589" t="s">
        <v>28</v>
      </c>
      <c r="F4" s="571"/>
      <c r="G4" s="572"/>
      <c r="H4" s="590" t="s">
        <v>29</v>
      </c>
      <c r="I4" s="571"/>
      <c r="J4" s="572"/>
      <c r="K4" s="591" t="s">
        <v>30</v>
      </c>
      <c r="L4" s="571"/>
      <c r="M4" s="572"/>
      <c r="N4" s="73"/>
    </row>
    <row r="5" spans="1:14" ht="13.5" customHeight="1" thickBot="1" x14ac:dyDescent="0.25">
      <c r="A5" s="568"/>
      <c r="B5" s="573"/>
      <c r="C5" s="574"/>
      <c r="D5" s="575"/>
      <c r="E5" s="573"/>
      <c r="F5" s="574"/>
      <c r="G5" s="575"/>
      <c r="H5" s="573"/>
      <c r="I5" s="574"/>
      <c r="J5" s="575"/>
      <c r="K5" s="573"/>
      <c r="L5" s="574"/>
      <c r="M5" s="575"/>
      <c r="N5" s="71"/>
    </row>
    <row r="6" spans="1:14" x14ac:dyDescent="0.2">
      <c r="A6" s="568"/>
      <c r="B6" s="584" t="s">
        <v>3</v>
      </c>
      <c r="C6" s="557" t="s">
        <v>31</v>
      </c>
      <c r="D6" s="559" t="s">
        <v>32</v>
      </c>
      <c r="E6" s="584" t="s">
        <v>4</v>
      </c>
      <c r="F6" s="557" t="s">
        <v>31</v>
      </c>
      <c r="G6" s="559" t="s">
        <v>32</v>
      </c>
      <c r="H6" s="555" t="s">
        <v>5</v>
      </c>
      <c r="I6" s="557" t="s">
        <v>31</v>
      </c>
      <c r="J6" s="559" t="s">
        <v>32</v>
      </c>
      <c r="K6" s="584" t="s">
        <v>6</v>
      </c>
      <c r="L6" s="557" t="s">
        <v>31</v>
      </c>
      <c r="M6" s="559" t="s">
        <v>32</v>
      </c>
    </row>
    <row r="7" spans="1:14" ht="13.5" thickBot="1" x14ac:dyDescent="0.25">
      <c r="A7" s="569"/>
      <c r="B7" s="556"/>
      <c r="C7" s="558"/>
      <c r="D7" s="560"/>
      <c r="E7" s="556"/>
      <c r="F7" s="558"/>
      <c r="G7" s="560"/>
      <c r="H7" s="556"/>
      <c r="I7" s="558"/>
      <c r="J7" s="560"/>
      <c r="K7" s="556"/>
      <c r="L7" s="558"/>
      <c r="M7" s="560"/>
    </row>
    <row r="8" spans="1:14" x14ac:dyDescent="0.2">
      <c r="A8" s="74" t="s">
        <v>7</v>
      </c>
      <c r="B8" s="75">
        <f>69409787.65+92423012</f>
        <v>161832799.65000001</v>
      </c>
      <c r="C8" s="76">
        <f>C20/12</f>
        <v>96436083.333333328</v>
      </c>
      <c r="D8" s="77">
        <f>B8-C8</f>
        <v>65396716.316666678</v>
      </c>
      <c r="E8" s="78">
        <f>4550836.7+6434298</f>
        <v>10985134.699999999</v>
      </c>
      <c r="F8" s="76">
        <f>F20/12</f>
        <v>6427833.333333333</v>
      </c>
      <c r="G8" s="77">
        <f>E8-F8</f>
        <v>4557301.3666666662</v>
      </c>
      <c r="H8" s="78">
        <f>5354495.79</f>
        <v>5354495.79</v>
      </c>
      <c r="I8" s="76">
        <f>I20/12</f>
        <v>1347666.6666666667</v>
      </c>
      <c r="J8" s="79">
        <f>H8-I8</f>
        <v>4006829.1233333331</v>
      </c>
      <c r="K8" s="78">
        <f>7548877.16+489779</f>
        <v>8038656.1600000001</v>
      </c>
      <c r="L8" s="76">
        <f>L20/12</f>
        <v>1234250</v>
      </c>
      <c r="M8" s="79">
        <f>K8-L8</f>
        <v>6804406.1600000001</v>
      </c>
    </row>
    <row r="9" spans="1:14" x14ac:dyDescent="0.2">
      <c r="A9" s="80" t="s">
        <v>8</v>
      </c>
      <c r="B9" s="81">
        <f>32602448.44+58629395+B8</f>
        <v>253064643.09</v>
      </c>
      <c r="C9" s="82">
        <f>C8*2</f>
        <v>192872166.66666666</v>
      </c>
      <c r="D9" s="77">
        <f>B9-C9</f>
        <v>60192476.423333347</v>
      </c>
      <c r="E9" s="75">
        <f>2269715+4081657+E8</f>
        <v>17336506.699999999</v>
      </c>
      <c r="F9" s="82">
        <f>F8*2</f>
        <v>12855666.666666666</v>
      </c>
      <c r="G9" s="77">
        <f>E9-F9</f>
        <v>4480840.0333333332</v>
      </c>
      <c r="H9" s="75">
        <f>0.31+1413+5554+5982+1498.5+H8</f>
        <v>5368943.5999999996</v>
      </c>
      <c r="I9" s="82">
        <f>I8*2</f>
        <v>2695333.3333333335</v>
      </c>
      <c r="J9" s="77">
        <f>H9-I9</f>
        <v>2673610.2666666661</v>
      </c>
      <c r="K9" s="81">
        <f>548245.81+571341+K8</f>
        <v>9158242.9700000007</v>
      </c>
      <c r="L9" s="82">
        <f>L8*2</f>
        <v>2468500</v>
      </c>
      <c r="M9" s="77">
        <f>K9-L9</f>
        <v>6689742.9700000007</v>
      </c>
    </row>
    <row r="10" spans="1:14" x14ac:dyDescent="0.2">
      <c r="A10" s="80" t="s">
        <v>9</v>
      </c>
      <c r="B10" s="81">
        <f>35062963.7+45655129.49+B9</f>
        <v>333782736.27999997</v>
      </c>
      <c r="C10" s="82">
        <f>C8*3</f>
        <v>289308250</v>
      </c>
      <c r="D10" s="77">
        <f t="shared" ref="D10:D19" si="0">B10-C10</f>
        <v>44474486.279999971</v>
      </c>
      <c r="E10" s="75">
        <f>2441011.31+3178415.48+E9</f>
        <v>22955933.489999998</v>
      </c>
      <c r="F10" s="83">
        <f>F8*3</f>
        <v>19283500</v>
      </c>
      <c r="G10" s="77">
        <f t="shared" ref="G10:G19" si="1">E10-F10</f>
        <v>3672433.4899999984</v>
      </c>
      <c r="H10" s="75">
        <f>587007.88+648190.15+637+H9</f>
        <v>6604778.6299999999</v>
      </c>
      <c r="I10" s="83">
        <f>I8*3</f>
        <v>4043000</v>
      </c>
      <c r="J10" s="77">
        <f t="shared" ref="J10:J19" si="2">H10-I10</f>
        <v>2561778.63</v>
      </c>
      <c r="K10" s="81">
        <f>1047048.27+2037262.68+K9</f>
        <v>12242553.920000002</v>
      </c>
      <c r="L10" s="83">
        <f>L8*3</f>
        <v>3702750</v>
      </c>
      <c r="M10" s="77">
        <f t="shared" ref="M10:M19" si="3">K10-L10</f>
        <v>8539803.9200000018</v>
      </c>
    </row>
    <row r="11" spans="1:14" x14ac:dyDescent="0.2">
      <c r="A11" s="80" t="s">
        <v>10</v>
      </c>
      <c r="B11" s="81">
        <f>26517392.12+36589783.76+B10</f>
        <v>396889912.15999997</v>
      </c>
      <c r="C11" s="82">
        <f>C8*4</f>
        <v>385744333.33333331</v>
      </c>
      <c r="D11" s="77">
        <f t="shared" si="0"/>
        <v>11145578.826666653</v>
      </c>
      <c r="E11" s="75">
        <f>1846085.89+2547304.92+E10</f>
        <v>27349324.299999997</v>
      </c>
      <c r="F11" s="82">
        <f>F8*4</f>
        <v>25711333.333333332</v>
      </c>
      <c r="G11" s="77">
        <f t="shared" si="1"/>
        <v>1637990.9666666649</v>
      </c>
      <c r="H11" s="75">
        <f>3338+467.4+150+H10</f>
        <v>6608734.0300000003</v>
      </c>
      <c r="I11" s="82">
        <f>I8*4</f>
        <v>5390666.666666667</v>
      </c>
      <c r="J11" s="77">
        <f t="shared" si="2"/>
        <v>1218067.3633333333</v>
      </c>
      <c r="K11" s="81">
        <f t="shared" ref="K11:K18" si="4">0+K10</f>
        <v>12242553.920000002</v>
      </c>
      <c r="L11" s="82">
        <f>L8*4</f>
        <v>4937000</v>
      </c>
      <c r="M11" s="77">
        <f t="shared" si="3"/>
        <v>7305553.9200000018</v>
      </c>
    </row>
    <row r="12" spans="1:14" x14ac:dyDescent="0.2">
      <c r="A12" s="80" t="s">
        <v>11</v>
      </c>
      <c r="B12" s="81">
        <f>23560036.52+58510541.03+B11</f>
        <v>478960489.70999998</v>
      </c>
      <c r="C12" s="82">
        <f>C8*5</f>
        <v>482180416.66666663</v>
      </c>
      <c r="D12" s="77">
        <f t="shared" si="0"/>
        <v>-3219926.9566666484</v>
      </c>
      <c r="E12" s="75">
        <f>1640200.92+4073382.64+E11</f>
        <v>33062907.859999999</v>
      </c>
      <c r="F12" s="82">
        <f>F8*5</f>
        <v>32139166.666666664</v>
      </c>
      <c r="G12" s="77">
        <f t="shared" si="1"/>
        <v>923741.19333333522</v>
      </c>
      <c r="H12" s="75">
        <f>1610+693852.14+4880.1+H11</f>
        <v>7309076.2700000005</v>
      </c>
      <c r="I12" s="82">
        <f>I8*5</f>
        <v>6738333.333333334</v>
      </c>
      <c r="J12" s="77">
        <f t="shared" si="2"/>
        <v>570742.93666666653</v>
      </c>
      <c r="K12" s="81">
        <f t="shared" si="4"/>
        <v>12242553.920000002</v>
      </c>
      <c r="L12" s="82">
        <f>L8*5</f>
        <v>6171250</v>
      </c>
      <c r="M12" s="77">
        <f t="shared" si="3"/>
        <v>6071303.9200000018</v>
      </c>
    </row>
    <row r="13" spans="1:14" x14ac:dyDescent="0.2">
      <c r="A13" s="80" t="s">
        <v>12</v>
      </c>
      <c r="B13" s="81">
        <f>36305761.67+60517550.69+B12</f>
        <v>575783802.06999993</v>
      </c>
      <c r="C13" s="82">
        <f>C8*6</f>
        <v>578616500</v>
      </c>
      <c r="D13" s="77">
        <f t="shared" si="0"/>
        <v>-2832697.9300000668</v>
      </c>
      <c r="E13" s="75">
        <f>2527531.86+4213106.47+E12</f>
        <v>39803546.189999998</v>
      </c>
      <c r="F13" s="82">
        <f>F8*6</f>
        <v>38567000</v>
      </c>
      <c r="G13" s="77">
        <f t="shared" si="1"/>
        <v>1236546.1899999976</v>
      </c>
      <c r="H13" s="75">
        <f>1485+2521.92+37421.54+132983.19+2645.76+H12</f>
        <v>7486133.6800000006</v>
      </c>
      <c r="I13" s="82">
        <f>I8*6</f>
        <v>8086000</v>
      </c>
      <c r="J13" s="77">
        <f t="shared" si="2"/>
        <v>-599866.31999999937</v>
      </c>
      <c r="K13" s="81">
        <f t="shared" si="4"/>
        <v>12242553.920000002</v>
      </c>
      <c r="L13" s="82">
        <f>L8*6</f>
        <v>7405500</v>
      </c>
      <c r="M13" s="77">
        <f t="shared" si="3"/>
        <v>4837053.9200000018</v>
      </c>
    </row>
    <row r="14" spans="1:14" x14ac:dyDescent="0.2">
      <c r="A14" s="80" t="s">
        <v>13</v>
      </c>
      <c r="B14" s="81">
        <f>41279041.49+47251553.95+B13</f>
        <v>664314397.50999999</v>
      </c>
      <c r="C14" s="82">
        <f>C8*7</f>
        <v>675052583.33333325</v>
      </c>
      <c r="D14" s="77">
        <f t="shared" si="0"/>
        <v>-10738185.823333263</v>
      </c>
      <c r="E14" s="75">
        <f>2896854.22+4333824.21+E13</f>
        <v>47034224.619999997</v>
      </c>
      <c r="F14" s="82">
        <f>F8*7</f>
        <v>44994833.333333328</v>
      </c>
      <c r="G14" s="77">
        <f t="shared" si="1"/>
        <v>2039391.286666669</v>
      </c>
      <c r="H14" s="75">
        <f>4409.55+5514.2+1082545.06+193132.88+18817.5+1165+H13</f>
        <v>8791717.870000001</v>
      </c>
      <c r="I14" s="82">
        <f>I8*7</f>
        <v>9433666.6666666679</v>
      </c>
      <c r="J14" s="77">
        <f t="shared" si="2"/>
        <v>-641948.79666666687</v>
      </c>
      <c r="K14" s="81">
        <f t="shared" si="4"/>
        <v>12242553.920000002</v>
      </c>
      <c r="L14" s="82">
        <f>L8*7</f>
        <v>8639750</v>
      </c>
      <c r="M14" s="77">
        <f t="shared" si="3"/>
        <v>3602803.9200000018</v>
      </c>
    </row>
    <row r="15" spans="1:14" x14ac:dyDescent="0.2">
      <c r="A15" s="80" t="s">
        <v>14</v>
      </c>
      <c r="B15" s="81">
        <f>38813809.41+65145959.72+B14</f>
        <v>768274166.63999999</v>
      </c>
      <c r="C15" s="82">
        <f>C8*8</f>
        <v>771488666.66666663</v>
      </c>
      <c r="D15" s="77">
        <f t="shared" si="0"/>
        <v>-3214500.0266666412</v>
      </c>
      <c r="E15" s="75">
        <f>2702136.95+4535326.74+E14</f>
        <v>54271688.309999995</v>
      </c>
      <c r="F15" s="82">
        <f>F8*8</f>
        <v>51422666.666666664</v>
      </c>
      <c r="G15" s="77">
        <f t="shared" si="1"/>
        <v>2849021.6433333308</v>
      </c>
      <c r="H15" s="75">
        <f>1359+236.7+3074.4+2353.53+H14</f>
        <v>8798741.5000000019</v>
      </c>
      <c r="I15" s="82">
        <f>I8*8</f>
        <v>10781333.333333334</v>
      </c>
      <c r="J15" s="77">
        <f t="shared" si="2"/>
        <v>-1982591.8333333321</v>
      </c>
      <c r="K15" s="81">
        <f t="shared" si="4"/>
        <v>12242553.920000002</v>
      </c>
      <c r="L15" s="82">
        <f>L8*8</f>
        <v>9874000</v>
      </c>
      <c r="M15" s="77">
        <f t="shared" si="3"/>
        <v>2368553.9200000018</v>
      </c>
    </row>
    <row r="16" spans="1:14" x14ac:dyDescent="0.2">
      <c r="A16" s="80" t="s">
        <v>15</v>
      </c>
      <c r="B16" s="81">
        <f>37224287.7+41005397.57+B15</f>
        <v>846503851.90999997</v>
      </c>
      <c r="C16" s="82">
        <f>C8*9</f>
        <v>867924750</v>
      </c>
      <c r="D16" s="77">
        <f t="shared" si="0"/>
        <v>-21420898.090000033</v>
      </c>
      <c r="E16" s="75">
        <f>2591477.75+3340558.92+E15</f>
        <v>60203724.979999997</v>
      </c>
      <c r="F16" s="82">
        <f>F8*9</f>
        <v>57850500</v>
      </c>
      <c r="G16" s="77">
        <f t="shared" si="1"/>
        <v>2353224.9799999967</v>
      </c>
      <c r="H16" s="75">
        <f>18792+1022382.06+5400.9+4474873.93+1.88+H15</f>
        <v>14320192.270000001</v>
      </c>
      <c r="I16" s="82">
        <f>I8*9</f>
        <v>12129000</v>
      </c>
      <c r="J16" s="77">
        <f t="shared" si="2"/>
        <v>2191192.2700000014</v>
      </c>
      <c r="K16" s="81">
        <f t="shared" si="4"/>
        <v>12242553.920000002</v>
      </c>
      <c r="L16" s="82">
        <f>L8*9</f>
        <v>11108250</v>
      </c>
      <c r="M16" s="77">
        <f t="shared" si="3"/>
        <v>1134303.9200000018</v>
      </c>
    </row>
    <row r="17" spans="1:14" x14ac:dyDescent="0.2">
      <c r="A17" s="80" t="s">
        <v>16</v>
      </c>
      <c r="B17" s="81">
        <f>40294129.99+59457964.26+B16</f>
        <v>946255946.15999997</v>
      </c>
      <c r="C17" s="82">
        <f>C8*10</f>
        <v>964360833.33333325</v>
      </c>
      <c r="D17" s="77">
        <f t="shared" si="0"/>
        <v>-18104887.173333287</v>
      </c>
      <c r="E17" s="75">
        <f>2806523.61+4141302.54+E16</f>
        <v>67151551.129999995</v>
      </c>
      <c r="F17" s="82">
        <f>F8*10</f>
        <v>64278333.333333328</v>
      </c>
      <c r="G17" s="77">
        <f t="shared" si="1"/>
        <v>2873217.7966666669</v>
      </c>
      <c r="H17" s="75">
        <f>5873927.81+1953.3+556520.75+1631.1+H16</f>
        <v>20754225.23</v>
      </c>
      <c r="I17" s="82">
        <f>I8*10</f>
        <v>13476666.666666668</v>
      </c>
      <c r="J17" s="77">
        <f t="shared" si="2"/>
        <v>7277558.5633333325</v>
      </c>
      <c r="K17" s="81">
        <f t="shared" si="4"/>
        <v>12242553.920000002</v>
      </c>
      <c r="L17" s="82">
        <f>L8*10</f>
        <v>12342500</v>
      </c>
      <c r="M17" s="77">
        <f t="shared" si="3"/>
        <v>-99946.079999998212</v>
      </c>
    </row>
    <row r="18" spans="1:14" x14ac:dyDescent="0.2">
      <c r="A18" s="80" t="s">
        <v>17</v>
      </c>
      <c r="B18" s="81">
        <f>36263893.4+64316149.72+B17</f>
        <v>1046835989.28</v>
      </c>
      <c r="C18" s="82">
        <f>C8*11</f>
        <v>1060796916.6666666</v>
      </c>
      <c r="D18" s="77">
        <f t="shared" si="0"/>
        <v>-13960927.386666656</v>
      </c>
      <c r="E18" s="75">
        <f>2525813.9+4514498.18+E17</f>
        <v>74191863.209999993</v>
      </c>
      <c r="F18" s="82">
        <f>F8*11</f>
        <v>70706166.666666657</v>
      </c>
      <c r="G18" s="77">
        <f t="shared" si="1"/>
        <v>3485696.5433333367</v>
      </c>
      <c r="H18" s="75">
        <f>2811.01+6270+1593+4881+H17</f>
        <v>20769780.240000002</v>
      </c>
      <c r="I18" s="82">
        <f>I8*11</f>
        <v>14824333.333333334</v>
      </c>
      <c r="J18" s="77">
        <f t="shared" si="2"/>
        <v>5945446.9066666681</v>
      </c>
      <c r="K18" s="81">
        <f t="shared" si="4"/>
        <v>12242553.920000002</v>
      </c>
      <c r="L18" s="82">
        <f>L8*11</f>
        <v>13576750</v>
      </c>
      <c r="M18" s="77">
        <f t="shared" si="3"/>
        <v>-1334196.0799999982</v>
      </c>
    </row>
    <row r="19" spans="1:14" ht="13.5" thickBot="1" x14ac:dyDescent="0.25">
      <c r="A19" s="150" t="s">
        <v>18</v>
      </c>
      <c r="B19" s="140">
        <f>37965705+72070679.27+B18</f>
        <v>1156872373.55</v>
      </c>
      <c r="C19" s="141">
        <f>C8*12</f>
        <v>1157233000</v>
      </c>
      <c r="D19" s="77">
        <f t="shared" si="0"/>
        <v>-360626.45000004768</v>
      </c>
      <c r="E19" s="142">
        <f>2644346.67+5019789.8+E18</f>
        <v>81855999.679999992</v>
      </c>
      <c r="F19" s="141">
        <f>F8*12</f>
        <v>77134000</v>
      </c>
      <c r="G19" s="77">
        <f t="shared" si="1"/>
        <v>4721999.6799999923</v>
      </c>
      <c r="H19" s="142">
        <f>72972.52+3656.2+55964.9+10211898.68+H18</f>
        <v>31114272.539999999</v>
      </c>
      <c r="I19" s="141">
        <f>I8*12</f>
        <v>16172000</v>
      </c>
      <c r="J19" s="77">
        <f t="shared" si="2"/>
        <v>14942272.539999999</v>
      </c>
      <c r="K19" s="140">
        <f>6439640.3+K18</f>
        <v>18682194.220000003</v>
      </c>
      <c r="L19" s="141">
        <f>L8*12</f>
        <v>14811000</v>
      </c>
      <c r="M19" s="77">
        <f t="shared" si="3"/>
        <v>3871194.2200000025</v>
      </c>
    </row>
    <row r="20" spans="1:14" ht="13.5" thickBot="1" x14ac:dyDescent="0.25">
      <c r="A20" s="86" t="s">
        <v>19</v>
      </c>
      <c r="B20" s="129">
        <f>B19</f>
        <v>1156872373.55</v>
      </c>
      <c r="C20" s="87">
        <v>1157233000</v>
      </c>
      <c r="D20" s="88"/>
      <c r="E20" s="129">
        <f>E19</f>
        <v>81855999.679999992</v>
      </c>
      <c r="F20" s="87">
        <v>77134000</v>
      </c>
      <c r="G20" s="89"/>
      <c r="H20" s="129">
        <f>H19</f>
        <v>31114272.539999999</v>
      </c>
      <c r="I20" s="87">
        <v>16172000</v>
      </c>
      <c r="J20" s="89"/>
      <c r="K20" s="129">
        <f>K19</f>
        <v>18682194.220000003</v>
      </c>
      <c r="L20" s="87">
        <v>14811000</v>
      </c>
      <c r="M20" s="89"/>
    </row>
    <row r="21" spans="1:14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4" x14ac:dyDescent="0.2">
      <c r="A22" s="71"/>
      <c r="B22" s="73"/>
      <c r="C22" s="73"/>
      <c r="D22" s="73"/>
      <c r="E22" s="90"/>
      <c r="F22" s="73"/>
      <c r="G22" s="73"/>
      <c r="H22" s="71"/>
      <c r="I22" s="73"/>
      <c r="J22" s="91"/>
      <c r="K22" s="71"/>
      <c r="L22" s="73"/>
      <c r="M22" s="71"/>
    </row>
    <row r="23" spans="1:14" ht="13.5" thickBot="1" x14ac:dyDescent="0.25">
      <c r="A23" s="92"/>
      <c r="B23" s="73"/>
      <c r="C23" s="93"/>
      <c r="D23" s="73"/>
      <c r="E23" s="73"/>
      <c r="F23" s="73"/>
      <c r="G23" s="73"/>
      <c r="M23" s="135" t="s">
        <v>26</v>
      </c>
    </row>
    <row r="24" spans="1:14" x14ac:dyDescent="0.2">
      <c r="A24" s="567" t="s">
        <v>2</v>
      </c>
      <c r="B24" s="570" t="s">
        <v>36</v>
      </c>
      <c r="C24" s="571"/>
      <c r="D24" s="572"/>
      <c r="E24" s="576" t="s">
        <v>20</v>
      </c>
      <c r="F24" s="577"/>
      <c r="G24" s="578"/>
      <c r="H24" s="582" t="s">
        <v>21</v>
      </c>
      <c r="I24" s="577"/>
      <c r="J24" s="578"/>
      <c r="K24" s="583" t="s">
        <v>22</v>
      </c>
      <c r="L24" s="577"/>
      <c r="M24" s="578"/>
    </row>
    <row r="25" spans="1:14" ht="13.5" thickBot="1" x14ac:dyDescent="0.25">
      <c r="A25" s="568"/>
      <c r="B25" s="573"/>
      <c r="C25" s="574"/>
      <c r="D25" s="575"/>
      <c r="E25" s="579"/>
      <c r="F25" s="580"/>
      <c r="G25" s="581"/>
      <c r="H25" s="579"/>
      <c r="I25" s="580"/>
      <c r="J25" s="581"/>
      <c r="K25" s="579"/>
      <c r="L25" s="580"/>
      <c r="M25" s="581"/>
    </row>
    <row r="26" spans="1:14" ht="12.75" customHeight="1" x14ac:dyDescent="0.2">
      <c r="A26" s="568"/>
      <c r="B26" s="584" t="s">
        <v>23</v>
      </c>
      <c r="C26" s="557" t="s">
        <v>31</v>
      </c>
      <c r="D26" s="559" t="s">
        <v>32</v>
      </c>
      <c r="E26" s="563" t="s">
        <v>24</v>
      </c>
      <c r="F26" s="557" t="s">
        <v>31</v>
      </c>
      <c r="G26" s="559" t="s">
        <v>32</v>
      </c>
      <c r="H26" s="563" t="s">
        <v>25</v>
      </c>
      <c r="I26" s="557" t="s">
        <v>31</v>
      </c>
      <c r="J26" s="559" t="s">
        <v>32</v>
      </c>
      <c r="K26" s="566" t="s">
        <v>19</v>
      </c>
      <c r="L26" s="557" t="s">
        <v>31</v>
      </c>
      <c r="M26" s="559" t="s">
        <v>32</v>
      </c>
      <c r="N26" s="553" t="s">
        <v>37</v>
      </c>
    </row>
    <row r="27" spans="1:14" ht="13.5" thickBot="1" x14ac:dyDescent="0.25">
      <c r="A27" s="569"/>
      <c r="B27" s="556"/>
      <c r="C27" s="558"/>
      <c r="D27" s="560"/>
      <c r="E27" s="564"/>
      <c r="F27" s="558"/>
      <c r="G27" s="560"/>
      <c r="H27" s="564"/>
      <c r="I27" s="565"/>
      <c r="J27" s="560"/>
      <c r="K27" s="556"/>
      <c r="L27" s="558"/>
      <c r="M27" s="560"/>
      <c r="N27" s="554"/>
    </row>
    <row r="28" spans="1:14" x14ac:dyDescent="0.2">
      <c r="A28" s="95" t="s">
        <v>7</v>
      </c>
      <c r="B28" s="78">
        <f>7350781.78+4728126</f>
        <v>12078907.780000001</v>
      </c>
      <c r="C28" s="76">
        <f>C40/12</f>
        <v>11086666.666666666</v>
      </c>
      <c r="D28" s="79">
        <f>B28-C28</f>
        <v>992241.11333333515</v>
      </c>
      <c r="E28" s="96">
        <f>189148341.01+6212767</f>
        <v>195361108.00999999</v>
      </c>
      <c r="F28" s="76">
        <f>F40/12</f>
        <v>101473000</v>
      </c>
      <c r="G28" s="79">
        <f>E28-F28</f>
        <v>93888108.00999999</v>
      </c>
      <c r="H28" s="97">
        <f>216722319.14+16438346</f>
        <v>233160665.13999999</v>
      </c>
      <c r="I28" s="98">
        <f>I40/12</f>
        <v>201220833.33333334</v>
      </c>
      <c r="J28" s="99">
        <f>H28-I28</f>
        <v>31939831.806666642</v>
      </c>
      <c r="K28" s="130">
        <f>SUM($B8+$E8+$H8+$K8+$B28+$E28+$H28)</f>
        <v>626811767.23000002</v>
      </c>
      <c r="L28" s="98">
        <f>L40/12</f>
        <v>419226333.33333331</v>
      </c>
      <c r="M28" s="100">
        <f>K28-L28</f>
        <v>207585433.89666671</v>
      </c>
      <c r="N28" s="101">
        <f>M28/L40</f>
        <v>4.1263596254820727E-2</v>
      </c>
    </row>
    <row r="29" spans="1:14" x14ac:dyDescent="0.2">
      <c r="A29" s="102" t="s">
        <v>8</v>
      </c>
      <c r="B29" s="81">
        <f>17386233.52+3816315+B28</f>
        <v>33281456.300000001</v>
      </c>
      <c r="C29" s="82">
        <f>C28*2</f>
        <v>22173333.333333332</v>
      </c>
      <c r="D29" s="77">
        <f>B29-C29</f>
        <v>11108122.966666669</v>
      </c>
      <c r="E29" s="103">
        <f>3105006.73+4665684+E28</f>
        <v>203131798.73999998</v>
      </c>
      <c r="F29" s="82">
        <f>F28*2</f>
        <v>202946000</v>
      </c>
      <c r="G29" s="77">
        <f>E29-F29</f>
        <v>185798.73999997973</v>
      </c>
      <c r="H29" s="104">
        <f>390581000.36+4807294+H28</f>
        <v>628548959.5</v>
      </c>
      <c r="I29" s="83">
        <f>I28*2</f>
        <v>402441666.66666669</v>
      </c>
      <c r="J29" s="77">
        <f>H29-I29</f>
        <v>226107292.83333331</v>
      </c>
      <c r="K29" s="85">
        <f t="shared" ref="K29:K40" si="5">SUM($B9+$E9+$H9+$K9+$B29+$E29+$H29)</f>
        <v>1149890550.9000001</v>
      </c>
      <c r="L29" s="83">
        <f>L28*2</f>
        <v>838452666.66666663</v>
      </c>
      <c r="M29" s="77">
        <f>K29-L29</f>
        <v>311437884.23333347</v>
      </c>
      <c r="N29" s="105">
        <f>M29/L40</f>
        <v>6.1907268117169297E-2</v>
      </c>
    </row>
    <row r="30" spans="1:14" x14ac:dyDescent="0.2">
      <c r="A30" s="102" t="s">
        <v>9</v>
      </c>
      <c r="B30" s="81">
        <f>3225761.85+3361901.49+B29</f>
        <v>39869119.640000001</v>
      </c>
      <c r="C30" s="83">
        <f>C28*3</f>
        <v>33260000</v>
      </c>
      <c r="D30" s="77">
        <f t="shared" ref="D30:D39" si="6">B30-C30</f>
        <v>6609119.6400000006</v>
      </c>
      <c r="E30" s="106">
        <f>1918101.08+215758249.71+E29</f>
        <v>420808149.52999997</v>
      </c>
      <c r="F30" s="83">
        <f>F28*3</f>
        <v>304419000</v>
      </c>
      <c r="G30" s="77">
        <f t="shared" ref="G30:G39" si="7">E30-F30</f>
        <v>116389149.52999997</v>
      </c>
      <c r="H30" s="104">
        <f>52887773.57+1108631.7+H29</f>
        <v>682545364.76999998</v>
      </c>
      <c r="I30" s="83">
        <f>I28*3</f>
        <v>603662500</v>
      </c>
      <c r="J30" s="77">
        <f t="shared" ref="J30:J39" si="8">H30-I30</f>
        <v>78882864.769999981</v>
      </c>
      <c r="K30" s="84">
        <f t="shared" si="5"/>
        <v>1518808636.26</v>
      </c>
      <c r="L30" s="83">
        <f>L28*3</f>
        <v>1257679000</v>
      </c>
      <c r="M30" s="77">
        <f t="shared" ref="M30:M39" si="9">K30-L30</f>
        <v>261129636.25999999</v>
      </c>
      <c r="N30" s="105">
        <f>M30/L40</f>
        <v>5.1907051851068517E-2</v>
      </c>
    </row>
    <row r="31" spans="1:14" x14ac:dyDescent="0.2">
      <c r="A31" s="102" t="s">
        <v>10</v>
      </c>
      <c r="B31" s="81">
        <f>3888157.44+3369913.09+B30</f>
        <v>47127190.170000002</v>
      </c>
      <c r="C31" s="82">
        <f>C28*4</f>
        <v>44346666.666666664</v>
      </c>
      <c r="D31" s="77">
        <f t="shared" si="6"/>
        <v>2780523.5033333376</v>
      </c>
      <c r="E31" s="103">
        <f>38928723.24+13021084.07+E30</f>
        <v>472757956.83999997</v>
      </c>
      <c r="F31" s="82">
        <f>F28*4</f>
        <v>405892000</v>
      </c>
      <c r="G31" s="77">
        <f t="shared" si="7"/>
        <v>66865956.839999974</v>
      </c>
      <c r="H31" s="107">
        <f>154047728.04+H30</f>
        <v>836593092.80999994</v>
      </c>
      <c r="I31" s="82">
        <f>I28*4</f>
        <v>804883333.33333337</v>
      </c>
      <c r="J31" s="77">
        <f t="shared" si="8"/>
        <v>31709759.47666657</v>
      </c>
      <c r="K31" s="84">
        <f t="shared" si="5"/>
        <v>1799568764.23</v>
      </c>
      <c r="L31" s="82">
        <f>L28*4</f>
        <v>1676905333.3333333</v>
      </c>
      <c r="M31" s="77">
        <f t="shared" si="9"/>
        <v>122663430.89666677</v>
      </c>
      <c r="N31" s="105">
        <f>M31/L40</f>
        <v>2.4382897165466461E-2</v>
      </c>
    </row>
    <row r="32" spans="1:14" x14ac:dyDescent="0.2">
      <c r="A32" s="102" t="s">
        <v>11</v>
      </c>
      <c r="B32" s="81">
        <f>5703896.75+3191432.15+B31</f>
        <v>56022519.07</v>
      </c>
      <c r="C32" s="82">
        <f>C28*5</f>
        <v>55433333.333333328</v>
      </c>
      <c r="D32" s="77">
        <f t="shared" si="6"/>
        <v>589185.73666667193</v>
      </c>
      <c r="E32" s="106">
        <f t="shared" ref="E32:E35" si="10">0+E31</f>
        <v>472757956.83999997</v>
      </c>
      <c r="F32" s="82">
        <f>F28*5</f>
        <v>507365000</v>
      </c>
      <c r="G32" s="77">
        <f t="shared" si="7"/>
        <v>-34607043.160000026</v>
      </c>
      <c r="H32" s="107">
        <f>263016842.81+5152363.38+H31</f>
        <v>1104762299</v>
      </c>
      <c r="I32" s="82">
        <f>I28*5</f>
        <v>1006104166.6666667</v>
      </c>
      <c r="J32" s="77">
        <f t="shared" si="8"/>
        <v>98658132.333333254</v>
      </c>
      <c r="K32" s="84">
        <f t="shared" si="5"/>
        <v>2165117802.6700001</v>
      </c>
      <c r="L32" s="82">
        <f>L28*5</f>
        <v>2096131666.6666665</v>
      </c>
      <c r="M32" s="77">
        <f t="shared" si="9"/>
        <v>68986136.003333569</v>
      </c>
      <c r="N32" s="105">
        <f>M32/L40</f>
        <v>1.3712985587604939E-2</v>
      </c>
    </row>
    <row r="33" spans="1:14" x14ac:dyDescent="0.2">
      <c r="A33" s="102" t="s">
        <v>12</v>
      </c>
      <c r="B33" s="81">
        <f>5045566.73+3820886.3+B32</f>
        <v>64888972.100000001</v>
      </c>
      <c r="C33" s="82">
        <f>C28*6</f>
        <v>66520000</v>
      </c>
      <c r="D33" s="77">
        <f t="shared" si="6"/>
        <v>-1631027.8999999985</v>
      </c>
      <c r="E33" s="103">
        <f>3703072.19+124941953.21+E32</f>
        <v>601402982.24000001</v>
      </c>
      <c r="F33" s="82">
        <f>F28*6</f>
        <v>608838000</v>
      </c>
      <c r="G33" s="77">
        <f t="shared" si="7"/>
        <v>-7435017.7599999905</v>
      </c>
      <c r="H33" s="107">
        <f>167245110.71+H32</f>
        <v>1272007409.71</v>
      </c>
      <c r="I33" s="82">
        <f>I28*6</f>
        <v>1207325000</v>
      </c>
      <c r="J33" s="77">
        <f t="shared" si="8"/>
        <v>64682409.710000038</v>
      </c>
      <c r="K33" s="84">
        <f t="shared" si="5"/>
        <v>2573615399.9099998</v>
      </c>
      <c r="L33" s="82">
        <f>L28*6</f>
        <v>2515358000</v>
      </c>
      <c r="M33" s="77">
        <f t="shared" si="9"/>
        <v>58257399.909999847</v>
      </c>
      <c r="N33" s="105">
        <f>M33/L40</f>
        <v>1.158033963952643E-2</v>
      </c>
    </row>
    <row r="34" spans="1:14" x14ac:dyDescent="0.2">
      <c r="A34" s="102" t="s">
        <v>13</v>
      </c>
      <c r="B34" s="81">
        <f>4939444.13+4699444.83+B33</f>
        <v>74527861.060000002</v>
      </c>
      <c r="C34" s="82">
        <f>C28*7</f>
        <v>77606666.666666657</v>
      </c>
      <c r="D34" s="77">
        <f t="shared" si="6"/>
        <v>-3078805.6066666543</v>
      </c>
      <c r="E34" s="106">
        <f>221403130.83+87813785.65+E33</f>
        <v>910619898.72000003</v>
      </c>
      <c r="F34" s="82">
        <f>F28*7</f>
        <v>710311000</v>
      </c>
      <c r="G34" s="77">
        <f t="shared" si="7"/>
        <v>200308898.72000003</v>
      </c>
      <c r="H34" s="107">
        <f>179441301.18+1226483.05+H33</f>
        <v>1452675193.9400001</v>
      </c>
      <c r="I34" s="82">
        <f>I28*7</f>
        <v>1408545833.3333335</v>
      </c>
      <c r="J34" s="77">
        <f t="shared" si="8"/>
        <v>44129360.606666565</v>
      </c>
      <c r="K34" s="84">
        <f t="shared" si="5"/>
        <v>3170205847.6400003</v>
      </c>
      <c r="L34" s="82">
        <f>L28*7</f>
        <v>2934584333.333333</v>
      </c>
      <c r="M34" s="77">
        <f t="shared" si="9"/>
        <v>235621514.30666733</v>
      </c>
      <c r="N34" s="105">
        <f>M34/L40</f>
        <v>4.6836576405161277E-2</v>
      </c>
    </row>
    <row r="35" spans="1:14" x14ac:dyDescent="0.2">
      <c r="A35" s="102" t="s">
        <v>14</v>
      </c>
      <c r="B35" s="81">
        <f>6716653.5+3609006.09+B34</f>
        <v>84853520.650000006</v>
      </c>
      <c r="C35" s="82">
        <f>C28*8</f>
        <v>88693333.333333328</v>
      </c>
      <c r="D35" s="77">
        <f t="shared" si="6"/>
        <v>-3839812.6833333224</v>
      </c>
      <c r="E35" s="103">
        <f t="shared" si="10"/>
        <v>910619898.72000003</v>
      </c>
      <c r="F35" s="82">
        <f>F28*8</f>
        <v>811784000</v>
      </c>
      <c r="G35" s="77">
        <f t="shared" si="7"/>
        <v>98835898.720000029</v>
      </c>
      <c r="H35" s="107">
        <f>260096434.98+1513168.42+H34</f>
        <v>1714284797.3400002</v>
      </c>
      <c r="I35" s="82">
        <f>I28*8</f>
        <v>1609766666.6666667</v>
      </c>
      <c r="J35" s="77">
        <f t="shared" si="8"/>
        <v>104518130.67333341</v>
      </c>
      <c r="K35" s="84">
        <f t="shared" si="5"/>
        <v>3553345367.0799999</v>
      </c>
      <c r="L35" s="82">
        <f>L28*8</f>
        <v>3353810666.6666665</v>
      </c>
      <c r="M35" s="77">
        <f t="shared" si="9"/>
        <v>199534700.41333342</v>
      </c>
      <c r="N35" s="105">
        <f>M35/L40</f>
        <v>3.9663280617179227E-2</v>
      </c>
    </row>
    <row r="36" spans="1:14" x14ac:dyDescent="0.2">
      <c r="A36" s="102" t="s">
        <v>15</v>
      </c>
      <c r="B36" s="81">
        <f>5043222.29+5292436.16+B35</f>
        <v>95189179.100000009</v>
      </c>
      <c r="C36" s="82">
        <f>C28*9</f>
        <v>99780000</v>
      </c>
      <c r="D36" s="77">
        <f t="shared" si="6"/>
        <v>-4590820.8999999911</v>
      </c>
      <c r="E36" s="106">
        <f>49536232.88+E35</f>
        <v>960156131.60000002</v>
      </c>
      <c r="F36" s="82">
        <f>F28*9</f>
        <v>913257000</v>
      </c>
      <c r="G36" s="77">
        <f t="shared" si="7"/>
        <v>46899131.600000024</v>
      </c>
      <c r="H36" s="107">
        <f>174236818.54+H35</f>
        <v>1888521615.8800001</v>
      </c>
      <c r="I36" s="82">
        <f>I28*9</f>
        <v>1810987500</v>
      </c>
      <c r="J36" s="77">
        <f t="shared" si="8"/>
        <v>77534115.880000114</v>
      </c>
      <c r="K36" s="84">
        <f t="shared" si="5"/>
        <v>3877137249.6599998</v>
      </c>
      <c r="L36" s="82">
        <f>L28*9</f>
        <v>3773037000</v>
      </c>
      <c r="M36" s="77">
        <f t="shared" si="9"/>
        <v>104100249.65999985</v>
      </c>
      <c r="N36" s="105">
        <f>M36/L40</f>
        <v>2.0692929129769968E-2</v>
      </c>
    </row>
    <row r="37" spans="1:14" x14ac:dyDescent="0.2">
      <c r="A37" s="102" t="s">
        <v>16</v>
      </c>
      <c r="B37" s="81">
        <f>6043596.7+4006058.58+B36</f>
        <v>105238834.38000001</v>
      </c>
      <c r="C37" s="82">
        <f>C28*10</f>
        <v>110866666.66666666</v>
      </c>
      <c r="D37" s="77">
        <f t="shared" si="6"/>
        <v>-5627832.2866666466</v>
      </c>
      <c r="E37" s="103">
        <f>131755746.11+3383293.67+E36</f>
        <v>1095295171.3800001</v>
      </c>
      <c r="F37" s="82">
        <f>F28*10</f>
        <v>1014730000</v>
      </c>
      <c r="G37" s="77">
        <f t="shared" si="7"/>
        <v>80565171.380000114</v>
      </c>
      <c r="H37" s="107">
        <f>175473196.13+1291683.56+H36</f>
        <v>2065286495.5700002</v>
      </c>
      <c r="I37" s="82">
        <f>I28*10</f>
        <v>2012208333.3333335</v>
      </c>
      <c r="J37" s="77">
        <f t="shared" si="8"/>
        <v>53078162.236666679</v>
      </c>
      <c r="K37" s="84">
        <f t="shared" si="5"/>
        <v>4312224777.7700005</v>
      </c>
      <c r="L37" s="82">
        <f>L28*10</f>
        <v>4192263333.333333</v>
      </c>
      <c r="M37" s="77">
        <f t="shared" si="9"/>
        <v>119961444.43666744</v>
      </c>
      <c r="N37" s="105">
        <f>M37/L40</f>
        <v>2.3845799372627562E-2</v>
      </c>
    </row>
    <row r="38" spans="1:14" x14ac:dyDescent="0.2">
      <c r="A38" s="102" t="s">
        <v>17</v>
      </c>
      <c r="B38" s="81">
        <f>5993723.56+3823803.99+B37</f>
        <v>115056361.93000001</v>
      </c>
      <c r="C38" s="82">
        <f>C28*11</f>
        <v>121953333.33333333</v>
      </c>
      <c r="D38" s="77">
        <f t="shared" si="6"/>
        <v>-6896971.4033333212</v>
      </c>
      <c r="E38" s="103">
        <f>812220.11+1552041.11+E37</f>
        <v>1097659432.6000001</v>
      </c>
      <c r="F38" s="82">
        <f>F28*11</f>
        <v>1116203000</v>
      </c>
      <c r="G38" s="77">
        <f t="shared" si="7"/>
        <v>-18543567.399999857</v>
      </c>
      <c r="H38" s="107">
        <f>287912786.74+2255759.56+H37</f>
        <v>2355455041.8700004</v>
      </c>
      <c r="I38" s="82">
        <f>I28*11</f>
        <v>2213429166.666667</v>
      </c>
      <c r="J38" s="77">
        <f t="shared" si="8"/>
        <v>142025875.20333338</v>
      </c>
      <c r="K38" s="84">
        <f t="shared" si="5"/>
        <v>4722211023.0500011</v>
      </c>
      <c r="L38" s="82">
        <f>L28*11</f>
        <v>4611489666.666666</v>
      </c>
      <c r="M38" s="77">
        <f t="shared" si="9"/>
        <v>110721356.38333511</v>
      </c>
      <c r="N38" s="105">
        <f>M38/L40</f>
        <v>2.200906518740774E-2</v>
      </c>
    </row>
    <row r="39" spans="1:14" ht="13.5" thickBot="1" x14ac:dyDescent="0.25">
      <c r="A39" s="149" t="s">
        <v>18</v>
      </c>
      <c r="B39" s="143">
        <f>3687108.48+4278284.55+B38</f>
        <v>123021754.96000001</v>
      </c>
      <c r="C39" s="141">
        <f>C28*12</f>
        <v>133040000</v>
      </c>
      <c r="D39" s="77">
        <f t="shared" si="6"/>
        <v>-10018245.039999992</v>
      </c>
      <c r="E39" s="144">
        <f>4443372.35+116723429.58+E38</f>
        <v>1218826234.5300002</v>
      </c>
      <c r="F39" s="141">
        <f>F28*12</f>
        <v>1217676000</v>
      </c>
      <c r="G39" s="151">
        <f t="shared" si="7"/>
        <v>1150234.5300002098</v>
      </c>
      <c r="H39" s="146">
        <f>225226903.67+H38</f>
        <v>2580681945.5400004</v>
      </c>
      <c r="I39" s="141">
        <f>I28*12</f>
        <v>2414650000</v>
      </c>
      <c r="J39" s="77">
        <f t="shared" si="8"/>
        <v>166031945.54000044</v>
      </c>
      <c r="K39" s="131">
        <f t="shared" si="5"/>
        <v>5211054775.0200005</v>
      </c>
      <c r="L39" s="147">
        <f>L28*12</f>
        <v>5030716000</v>
      </c>
      <c r="M39" s="77">
        <f t="shared" si="9"/>
        <v>180338775.02000046</v>
      </c>
      <c r="N39" s="105">
        <f>M39/L40</f>
        <v>3.5847536418275344E-2</v>
      </c>
    </row>
    <row r="40" spans="1:14" ht="13.5" thickBot="1" x14ac:dyDescent="0.25">
      <c r="A40" s="86" t="s">
        <v>19</v>
      </c>
      <c r="B40" s="129">
        <f>B39</f>
        <v>123021754.96000001</v>
      </c>
      <c r="C40" s="87">
        <v>133040000</v>
      </c>
      <c r="D40" s="89"/>
      <c r="E40" s="133">
        <f>E39</f>
        <v>1218826234.5300002</v>
      </c>
      <c r="F40" s="108">
        <v>1217676000</v>
      </c>
      <c r="G40" s="109"/>
      <c r="H40" s="129">
        <f>H39</f>
        <v>2580681945.5400004</v>
      </c>
      <c r="I40" s="87">
        <v>2414650000</v>
      </c>
      <c r="J40" s="110"/>
      <c r="K40" s="132">
        <f t="shared" si="5"/>
        <v>5211054775.0200005</v>
      </c>
      <c r="L40" s="111">
        <f>SUM(F20+I20+L20+O20+F40+I40+C20+C40)</f>
        <v>5030716000</v>
      </c>
      <c r="M40" s="112"/>
      <c r="N40" s="113"/>
    </row>
    <row r="41" spans="1:14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4" x14ac:dyDescent="0.2">
      <c r="A42" s="561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</row>
    <row r="43" spans="1:14" x14ac:dyDescent="0.2">
      <c r="K43" s="114"/>
      <c r="L43" s="115"/>
    </row>
    <row r="44" spans="1:14" x14ac:dyDescent="0.2">
      <c r="K44" s="114"/>
    </row>
    <row r="45" spans="1:14" x14ac:dyDescent="0.2">
      <c r="K45" s="114"/>
    </row>
    <row r="46" spans="1:14" x14ac:dyDescent="0.2">
      <c r="K46" s="114"/>
    </row>
    <row r="48" spans="1:14" x14ac:dyDescent="0.2">
      <c r="K48" s="116"/>
    </row>
  </sheetData>
  <mergeCells count="38"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  <mergeCell ref="B24:D25"/>
    <mergeCell ref="E24:G25"/>
    <mergeCell ref="H24:J25"/>
    <mergeCell ref="K24:M25"/>
    <mergeCell ref="B26:B27"/>
    <mergeCell ref="C26:C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70</vt:i4>
      </vt:variant>
      <vt:variant>
        <vt:lpstr>Grafy</vt:lpstr>
      </vt:variant>
      <vt:variant>
        <vt:i4>6</vt:i4>
      </vt:variant>
      <vt:variant>
        <vt:lpstr>Pojmenované oblasti</vt:lpstr>
      </vt:variant>
      <vt:variant>
        <vt:i4>53</vt:i4>
      </vt:variant>
    </vt:vector>
  </HeadingPairs>
  <TitlesOfParts>
    <vt:vector size="129" baseType="lpstr">
      <vt:lpstr>Vývoj2015-24</vt:lpstr>
      <vt:lpstr>Grafy2015-24</vt:lpstr>
      <vt:lpstr>2012 (měs)</vt:lpstr>
      <vt:lpstr>Grafy2012 (měs)</vt:lpstr>
      <vt:lpstr>2012 (kum)</vt:lpstr>
      <vt:lpstr>Grafy2012 (kum)</vt:lpstr>
      <vt:lpstr>2013 (měs)</vt:lpstr>
      <vt:lpstr>Grafy2013 (měs)</vt:lpstr>
      <vt:lpstr>2013 (kum)</vt:lpstr>
      <vt:lpstr>Grafy2013 (kum)</vt:lpstr>
      <vt:lpstr>2014 (měs)</vt:lpstr>
      <vt:lpstr>Grafy2014 (měs)</vt:lpstr>
      <vt:lpstr>2014 (kum)</vt:lpstr>
      <vt:lpstr>Grafy2014 (kum)</vt:lpstr>
      <vt:lpstr>2015 (měs)</vt:lpstr>
      <vt:lpstr>Grafy2015 (měs)</vt:lpstr>
      <vt:lpstr>2015 (kum)</vt:lpstr>
      <vt:lpstr>Grafy2015 (kum)</vt:lpstr>
      <vt:lpstr>2016 (měs)</vt:lpstr>
      <vt:lpstr>Grafy2016 (měs)</vt:lpstr>
      <vt:lpstr>2016 (kum)</vt:lpstr>
      <vt:lpstr>Grafy2016 (kum)</vt:lpstr>
      <vt:lpstr>2017 (měs)</vt:lpstr>
      <vt:lpstr>Grafy2017 (měs)</vt:lpstr>
      <vt:lpstr>2017 (kum)</vt:lpstr>
      <vt:lpstr>Grafy2017 (kum)</vt:lpstr>
      <vt:lpstr>2018 (měs)</vt:lpstr>
      <vt:lpstr>Grafy2018 (měs)</vt:lpstr>
      <vt:lpstr>2018 (kum)</vt:lpstr>
      <vt:lpstr>Grafy2018 (kum)</vt:lpstr>
      <vt:lpstr>2019 (měs)</vt:lpstr>
      <vt:lpstr>Grafy2019 (měs)</vt:lpstr>
      <vt:lpstr>2019 (kum)</vt:lpstr>
      <vt:lpstr>Grafy2019 (kum)</vt:lpstr>
      <vt:lpstr>2020 (měs)</vt:lpstr>
      <vt:lpstr>Grafy2020 (měs)</vt:lpstr>
      <vt:lpstr>2020 (kum)</vt:lpstr>
      <vt:lpstr>Grafy2020 (kum)</vt:lpstr>
      <vt:lpstr>Srovnání2020 (měs)</vt:lpstr>
      <vt:lpstr>Grafy2020 (srovnani2019)</vt:lpstr>
      <vt:lpstr>2021 (měs)</vt:lpstr>
      <vt:lpstr>Grafy2021 (měs)</vt:lpstr>
      <vt:lpstr>2021 (kum)</vt:lpstr>
      <vt:lpstr>Grafy2021 (kum)</vt:lpstr>
      <vt:lpstr>Srovnání2021 (měs)</vt:lpstr>
      <vt:lpstr>Grafy2021 (srovnani2020)</vt:lpstr>
      <vt:lpstr>2022 (měs)</vt:lpstr>
      <vt:lpstr>Grafy2022 (měs)</vt:lpstr>
      <vt:lpstr>2022 (kum)</vt:lpstr>
      <vt:lpstr>Grafy2022 (kum)</vt:lpstr>
      <vt:lpstr>Srovnání2022 (měs)</vt:lpstr>
      <vt:lpstr>Grafy2022 (srovnani2021)</vt:lpstr>
      <vt:lpstr>2023 (měs)</vt:lpstr>
      <vt:lpstr>Grafy2023 (měs)</vt:lpstr>
      <vt:lpstr>2023 (kum)</vt:lpstr>
      <vt:lpstr>Grafy2023 (kum)</vt:lpstr>
      <vt:lpstr>Srovnání2023 (měs)</vt:lpstr>
      <vt:lpstr>Grafy2023 (srovnani2022)</vt:lpstr>
      <vt:lpstr>2024 (měs)</vt:lpstr>
      <vt:lpstr>Grafy2024 (měs)</vt:lpstr>
      <vt:lpstr>2024 (kum)</vt:lpstr>
      <vt:lpstr>Grafy2024 (kum)</vt:lpstr>
      <vt:lpstr>Srovnání2024 (měs)</vt:lpstr>
      <vt:lpstr>Grafy2024 (srovnani2023)</vt:lpstr>
      <vt:lpstr>2025 (měs)</vt:lpstr>
      <vt:lpstr>Grafy2025 (měs)</vt:lpstr>
      <vt:lpstr>2025 (kum)</vt:lpstr>
      <vt:lpstr>Grafy2025 (kum)</vt:lpstr>
      <vt:lpstr>Srovnání2025 (měs)</vt:lpstr>
      <vt:lpstr>Grafy2025 (srovnani2024)</vt:lpstr>
      <vt:lpstr>Graf FO plátci 10let</vt:lpstr>
      <vt:lpstr>Graf FO poplatníci 10let</vt:lpstr>
      <vt:lpstr>Graf FO srážkou 10let</vt:lpstr>
      <vt:lpstr>Graf PO 10let</vt:lpstr>
      <vt:lpstr>Graf DPH 10let</vt:lpstr>
      <vt:lpstr>Graf daně celkem 10let</vt:lpstr>
      <vt:lpstr>'2012 (kum)'!Oblast_tisku</vt:lpstr>
      <vt:lpstr>'2012 (měs)'!Oblast_tisku</vt:lpstr>
      <vt:lpstr>'2018 (kum)'!Oblast_tisku</vt:lpstr>
      <vt:lpstr>'2018 (měs)'!Oblast_tisku</vt:lpstr>
      <vt:lpstr>'2019 (kum)'!Oblast_tisku</vt:lpstr>
      <vt:lpstr>'2019 (měs)'!Oblast_tisku</vt:lpstr>
      <vt:lpstr>'2020 (kum)'!Oblast_tisku</vt:lpstr>
      <vt:lpstr>'2020 (měs)'!Oblast_tisku</vt:lpstr>
      <vt:lpstr>'2021 (kum)'!Oblast_tisku</vt:lpstr>
      <vt:lpstr>'2021 (měs)'!Oblast_tisku</vt:lpstr>
      <vt:lpstr>'2022 (kum)'!Oblast_tisku</vt:lpstr>
      <vt:lpstr>'2022 (měs)'!Oblast_tisku</vt:lpstr>
      <vt:lpstr>'2023 (kum)'!Oblast_tisku</vt:lpstr>
      <vt:lpstr>'2023 (měs)'!Oblast_tisku</vt:lpstr>
      <vt:lpstr>'2024 (kum)'!Oblast_tisku</vt:lpstr>
      <vt:lpstr>'2024 (měs)'!Oblast_tisku</vt:lpstr>
      <vt:lpstr>'2025 (kum)'!Oblast_tisku</vt:lpstr>
      <vt:lpstr>'2025 (měs)'!Oblast_tisku</vt:lpstr>
      <vt:lpstr>'Grafy2012 (kum)'!Oblast_tisku</vt:lpstr>
      <vt:lpstr>'Grafy2012 (měs)'!Oblast_tisku</vt:lpstr>
      <vt:lpstr>'Grafy2013 (kum)'!Oblast_tisku</vt:lpstr>
      <vt:lpstr>'Grafy2013 (měs)'!Oblast_tisku</vt:lpstr>
      <vt:lpstr>'Grafy2014 (kum)'!Oblast_tisku</vt:lpstr>
      <vt:lpstr>'Grafy2014 (měs)'!Oblast_tisku</vt:lpstr>
      <vt:lpstr>'Grafy2015 (kum)'!Oblast_tisku</vt:lpstr>
      <vt:lpstr>'Grafy2015 (měs)'!Oblast_tisku</vt:lpstr>
      <vt:lpstr>'Grafy2015-24'!Oblast_tisku</vt:lpstr>
      <vt:lpstr>'Grafy2016 (kum)'!Oblast_tisku</vt:lpstr>
      <vt:lpstr>'Grafy2016 (měs)'!Oblast_tisku</vt:lpstr>
      <vt:lpstr>'Grafy2017 (kum)'!Oblast_tisku</vt:lpstr>
      <vt:lpstr>'Grafy2017 (měs)'!Oblast_tisku</vt:lpstr>
      <vt:lpstr>'Grafy2018 (kum)'!Oblast_tisku</vt:lpstr>
      <vt:lpstr>'Grafy2018 (měs)'!Oblast_tisku</vt:lpstr>
      <vt:lpstr>'Grafy2019 (kum)'!Oblast_tisku</vt:lpstr>
      <vt:lpstr>'Grafy2019 (měs)'!Oblast_tisku</vt:lpstr>
      <vt:lpstr>'Grafy2020 (kum)'!Oblast_tisku</vt:lpstr>
      <vt:lpstr>'Grafy2020 (měs)'!Oblast_tisku</vt:lpstr>
      <vt:lpstr>'Grafy2020 (srovnani2019)'!Oblast_tisku</vt:lpstr>
      <vt:lpstr>'Grafy2021 (kum)'!Oblast_tisku</vt:lpstr>
      <vt:lpstr>'Grafy2021 (měs)'!Oblast_tisku</vt:lpstr>
      <vt:lpstr>'Grafy2021 (srovnani2020)'!Oblast_tisku</vt:lpstr>
      <vt:lpstr>'Grafy2022 (kum)'!Oblast_tisku</vt:lpstr>
      <vt:lpstr>'Grafy2022 (měs)'!Oblast_tisku</vt:lpstr>
      <vt:lpstr>'Grafy2022 (srovnani2021)'!Oblast_tisku</vt:lpstr>
      <vt:lpstr>'Grafy2023 (kum)'!Oblast_tisku</vt:lpstr>
      <vt:lpstr>'Grafy2023 (měs)'!Oblast_tisku</vt:lpstr>
      <vt:lpstr>'Grafy2023 (srovnani2022)'!Oblast_tisku</vt:lpstr>
      <vt:lpstr>'Grafy2024 (kum)'!Oblast_tisku</vt:lpstr>
      <vt:lpstr>'Grafy2024 (měs)'!Oblast_tisku</vt:lpstr>
      <vt:lpstr>'Grafy2024 (srovnani2023)'!Oblast_tisku</vt:lpstr>
      <vt:lpstr>'Grafy2025 (kum)'!Oblast_tisku</vt:lpstr>
      <vt:lpstr>'Grafy2025 (měs)'!Oblast_tisku</vt:lpstr>
      <vt:lpstr>'Grafy2025 (srovnani2024)'!Oblast_tisku</vt:lpstr>
    </vt:vector>
  </TitlesOfParts>
  <Company>Magistrát města Ostravy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Sdílené daně SMO - srovnání</dc:title>
  <dc:creator>Ing. David Wegiel</dc:creator>
  <cp:lastModifiedBy>Wegiel David</cp:lastModifiedBy>
  <cp:lastPrinted>2025-04-08T12:44:14Z</cp:lastPrinted>
  <dcterms:created xsi:type="dcterms:W3CDTF">2013-03-27T16:09:11Z</dcterms:created>
  <dcterms:modified xsi:type="dcterms:W3CDTF">2025-06-12T11:36:59Z</dcterms:modified>
</cp:coreProperties>
</file>