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3395" windowHeight="7440" firstSheet="5" activeTab="5"/>
  </bookViews>
  <sheets>
    <sheet name="Rozdělení neinvest. dotace MO" sheetId="4" state="hidden" r:id="rId1"/>
    <sheet name="NID 2017" sheetId="8" state="hidden" r:id="rId2"/>
    <sheet name="NID 2018- I.verze" sheetId="13" state="hidden" r:id="rId3"/>
    <sheet name="NID 2018-II.verze" sheetId="15" state="hidden" r:id="rId4"/>
    <sheet name="NID 2018-III.verze" sheetId="18" state="hidden" r:id="rId5"/>
    <sheet name="neúčelová NIV" sheetId="30" r:id="rId6"/>
    <sheet name="neúčelová INV" sheetId="29" r:id="rId7"/>
    <sheet name="převod INV" sheetId="31" r:id="rId8"/>
  </sheets>
  <definedNames>
    <definedName name="_xlnm.Print_Area" localSheetId="5">'neúčelová NIV'!$A$1:$K$35</definedName>
    <definedName name="_xlnm.Print_Area" localSheetId="0">'Rozdělení neinvest. dotace MO'!$A$1:$M$33</definedName>
  </definedNames>
  <calcPr calcId="145621"/>
</workbook>
</file>

<file path=xl/calcChain.xml><?xml version="1.0" encoding="utf-8"?>
<calcChain xmlns="http://schemas.openxmlformats.org/spreadsheetml/2006/main">
  <c r="F72" i="30" l="1"/>
  <c r="F35" i="30" s="1"/>
  <c r="E72" i="30"/>
  <c r="D72" i="30"/>
  <c r="E33" i="30" s="1"/>
  <c r="C72" i="30"/>
  <c r="D35" i="30" s="1"/>
  <c r="B72" i="30"/>
  <c r="C35" i="30" s="1"/>
  <c r="K35" i="30"/>
  <c r="I35" i="30"/>
  <c r="E35" i="30"/>
  <c r="B35" i="30"/>
  <c r="K4" i="30" s="1"/>
  <c r="K2" i="30" s="1"/>
  <c r="F34" i="30"/>
  <c r="E34" i="30"/>
  <c r="C34" i="30"/>
  <c r="B34" i="30"/>
  <c r="B33" i="30"/>
  <c r="F32" i="30"/>
  <c r="E32" i="30"/>
  <c r="C32" i="30"/>
  <c r="B32" i="30"/>
  <c r="F31" i="30"/>
  <c r="E31" i="30"/>
  <c r="B31" i="30"/>
  <c r="F30" i="30"/>
  <c r="E30" i="30"/>
  <c r="C30" i="30"/>
  <c r="B30" i="30"/>
  <c r="F29" i="30"/>
  <c r="E29" i="30"/>
  <c r="B29" i="30"/>
  <c r="F28" i="30"/>
  <c r="E28" i="30"/>
  <c r="C28" i="30"/>
  <c r="B28" i="30"/>
  <c r="F27" i="30"/>
  <c r="E27" i="30"/>
  <c r="C27" i="30"/>
  <c r="B27" i="30"/>
  <c r="F26" i="30"/>
  <c r="E26" i="30"/>
  <c r="C26" i="30"/>
  <c r="B26" i="30"/>
  <c r="F25" i="30"/>
  <c r="E25" i="30"/>
  <c r="C25" i="30"/>
  <c r="B25" i="30"/>
  <c r="F24" i="30"/>
  <c r="E24" i="30"/>
  <c r="C24" i="30"/>
  <c r="B24" i="30"/>
  <c r="F23" i="30"/>
  <c r="E23" i="30"/>
  <c r="C23" i="30"/>
  <c r="B23" i="30"/>
  <c r="F22" i="30"/>
  <c r="E22" i="30"/>
  <c r="C22" i="30"/>
  <c r="B22" i="30"/>
  <c r="F21" i="30"/>
  <c r="E21" i="30"/>
  <c r="C21" i="30"/>
  <c r="B21" i="30"/>
  <c r="F20" i="30"/>
  <c r="E20" i="30"/>
  <c r="C20" i="30"/>
  <c r="B20" i="30"/>
  <c r="F19" i="30"/>
  <c r="E19" i="30"/>
  <c r="C19" i="30"/>
  <c r="B19" i="30"/>
  <c r="F18" i="30"/>
  <c r="E18" i="30"/>
  <c r="C18" i="30"/>
  <c r="B18" i="30"/>
  <c r="F17" i="30"/>
  <c r="E17" i="30"/>
  <c r="C17" i="30"/>
  <c r="B17" i="30"/>
  <c r="F16" i="30"/>
  <c r="E16" i="30"/>
  <c r="C16" i="30"/>
  <c r="B16" i="30"/>
  <c r="F15" i="30"/>
  <c r="E15" i="30"/>
  <c r="C15" i="30"/>
  <c r="B15" i="30"/>
  <c r="F14" i="30"/>
  <c r="E14" i="30"/>
  <c r="C14" i="30"/>
  <c r="B14" i="30"/>
  <c r="F13" i="30"/>
  <c r="E13" i="30"/>
  <c r="C13" i="30"/>
  <c r="B13" i="30"/>
  <c r="F12" i="30"/>
  <c r="E12" i="30"/>
  <c r="C12" i="30"/>
  <c r="B12" i="30"/>
  <c r="F33" i="30" l="1"/>
  <c r="C29" i="30"/>
  <c r="C31" i="30"/>
  <c r="C33" i="30"/>
  <c r="G35" i="30"/>
  <c r="D12" i="30"/>
  <c r="G12" i="30" s="1"/>
  <c r="H12" i="30" s="1"/>
  <c r="D13" i="30"/>
  <c r="G13" i="30" s="1"/>
  <c r="H13" i="30" s="1"/>
  <c r="J13" i="30" s="1"/>
  <c r="D14" i="30"/>
  <c r="G14" i="30" s="1"/>
  <c r="H14" i="30" s="1"/>
  <c r="J14" i="30" s="1"/>
  <c r="D15" i="30"/>
  <c r="G15" i="30" s="1"/>
  <c r="H15" i="30" s="1"/>
  <c r="J15" i="30" s="1"/>
  <c r="D16" i="30"/>
  <c r="G16" i="30" s="1"/>
  <c r="H16" i="30" s="1"/>
  <c r="J16" i="30" s="1"/>
  <c r="D17" i="30"/>
  <c r="G17" i="30" s="1"/>
  <c r="H17" i="30" s="1"/>
  <c r="J17" i="30" s="1"/>
  <c r="D18" i="30"/>
  <c r="G18" i="30" s="1"/>
  <c r="H18" i="30" s="1"/>
  <c r="J18" i="30" s="1"/>
  <c r="D19" i="30"/>
  <c r="G19" i="30" s="1"/>
  <c r="H19" i="30" s="1"/>
  <c r="J19" i="30" s="1"/>
  <c r="D20" i="30"/>
  <c r="G20" i="30" s="1"/>
  <c r="H20" i="30" s="1"/>
  <c r="J20" i="30" s="1"/>
  <c r="D21" i="30"/>
  <c r="G21" i="30" s="1"/>
  <c r="H21" i="30" s="1"/>
  <c r="J21" i="30" s="1"/>
  <c r="D22" i="30"/>
  <c r="G22" i="30" s="1"/>
  <c r="H22" i="30" s="1"/>
  <c r="J22" i="30" s="1"/>
  <c r="D23" i="30"/>
  <c r="G23" i="30" s="1"/>
  <c r="H23" i="30" s="1"/>
  <c r="J23" i="30" s="1"/>
  <c r="D24" i="30"/>
  <c r="G24" i="30" s="1"/>
  <c r="H24" i="30" s="1"/>
  <c r="J24" i="30" s="1"/>
  <c r="D25" i="30"/>
  <c r="G25" i="30" s="1"/>
  <c r="H25" i="30" s="1"/>
  <c r="J25" i="30" s="1"/>
  <c r="D26" i="30"/>
  <c r="G26" i="30" s="1"/>
  <c r="H26" i="30" s="1"/>
  <c r="J26" i="30" s="1"/>
  <c r="D27" i="30"/>
  <c r="G27" i="30" s="1"/>
  <c r="H27" i="30" s="1"/>
  <c r="J27" i="30" s="1"/>
  <c r="D28" i="30"/>
  <c r="G28" i="30" s="1"/>
  <c r="H28" i="30" s="1"/>
  <c r="J28" i="30" s="1"/>
  <c r="D29" i="30"/>
  <c r="D30" i="30"/>
  <c r="G30" i="30" s="1"/>
  <c r="H30" i="30" s="1"/>
  <c r="J30" i="30" s="1"/>
  <c r="D31" i="30"/>
  <c r="D32" i="30"/>
  <c r="G32" i="30" s="1"/>
  <c r="H32" i="30" s="1"/>
  <c r="J32" i="30" s="1"/>
  <c r="D33" i="30"/>
  <c r="D34" i="30"/>
  <c r="G34" i="30" s="1"/>
  <c r="H34" i="30" s="1"/>
  <c r="J34" i="30" s="1"/>
  <c r="H33" i="29"/>
  <c r="D33" i="29"/>
  <c r="C33" i="29"/>
  <c r="B33" i="29"/>
  <c r="J28" i="29"/>
  <c r="J13" i="29"/>
  <c r="D4" i="29"/>
  <c r="D6" i="29" s="1"/>
  <c r="G29" i="30" l="1"/>
  <c r="H29" i="30" s="1"/>
  <c r="J29" i="30" s="1"/>
  <c r="G33" i="30"/>
  <c r="H33" i="30" s="1"/>
  <c r="J33" i="30" s="1"/>
  <c r="G31" i="30"/>
  <c r="H31" i="30" s="1"/>
  <c r="J31" i="30" s="1"/>
  <c r="J12" i="30"/>
  <c r="F32" i="29"/>
  <c r="E29" i="29"/>
  <c r="F27" i="29"/>
  <c r="E24" i="29"/>
  <c r="G22" i="29"/>
  <c r="F19" i="29"/>
  <c r="E16" i="29"/>
  <c r="G14" i="29"/>
  <c r="E11" i="29"/>
  <c r="I11" i="29" s="1"/>
  <c r="J11" i="29" s="1"/>
  <c r="E32" i="29"/>
  <c r="I32" i="29" s="1"/>
  <c r="J32" i="29" s="1"/>
  <c r="G30" i="29"/>
  <c r="E27" i="29"/>
  <c r="G25" i="29"/>
  <c r="F22" i="29"/>
  <c r="E19" i="29"/>
  <c r="G17" i="29"/>
  <c r="F14" i="29"/>
  <c r="G12" i="29"/>
  <c r="F30" i="29"/>
  <c r="G28" i="29"/>
  <c r="F25" i="29"/>
  <c r="E22" i="29"/>
  <c r="I22" i="29" s="1"/>
  <c r="J22" i="29" s="1"/>
  <c r="G20" i="29"/>
  <c r="F17" i="29"/>
  <c r="E14" i="29"/>
  <c r="I14" i="29" s="1"/>
  <c r="J14" i="29" s="1"/>
  <c r="F12" i="29"/>
  <c r="G13" i="29"/>
  <c r="F10" i="29"/>
  <c r="F26" i="29"/>
  <c r="E23" i="29"/>
  <c r="F13" i="29"/>
  <c r="E10" i="29"/>
  <c r="E31" i="29"/>
  <c r="I31" i="29" s="1"/>
  <c r="J31" i="29" s="1"/>
  <c r="G29" i="29"/>
  <c r="E26" i="29"/>
  <c r="I26" i="29" s="1"/>
  <c r="J26" i="29" s="1"/>
  <c r="E18" i="29"/>
  <c r="G11" i="29"/>
  <c r="G19" i="29"/>
  <c r="F16" i="29"/>
  <c r="E30" i="29"/>
  <c r="F28" i="29"/>
  <c r="E25" i="29"/>
  <c r="I25" i="29" s="1"/>
  <c r="J25" i="29" s="1"/>
  <c r="G23" i="29"/>
  <c r="F20" i="29"/>
  <c r="E17" i="29"/>
  <c r="G15" i="29"/>
  <c r="E12" i="29"/>
  <c r="G10" i="29"/>
  <c r="G31" i="29"/>
  <c r="E28" i="29"/>
  <c r="G26" i="29"/>
  <c r="F23" i="29"/>
  <c r="E20" i="29"/>
  <c r="G18" i="29"/>
  <c r="F15" i="29"/>
  <c r="F31" i="29"/>
  <c r="G21" i="29"/>
  <c r="F18" i="29"/>
  <c r="E15" i="29"/>
  <c r="I15" i="29" s="1"/>
  <c r="J15" i="29" s="1"/>
  <c r="G24" i="29"/>
  <c r="F21" i="29"/>
  <c r="G16" i="29"/>
  <c r="E13" i="29"/>
  <c r="G32" i="29"/>
  <c r="F29" i="29"/>
  <c r="G27" i="29"/>
  <c r="F24" i="29"/>
  <c r="E21" i="29"/>
  <c r="F11" i="29"/>
  <c r="H35" i="30" l="1"/>
  <c r="J35" i="30"/>
  <c r="I30" i="29"/>
  <c r="J30" i="29" s="1"/>
  <c r="E33" i="29"/>
  <c r="I10" i="29"/>
  <c r="I12" i="29"/>
  <c r="J12" i="29" s="1"/>
  <c r="I19" i="29"/>
  <c r="J19" i="29" s="1"/>
  <c r="I16" i="29"/>
  <c r="J16" i="29" s="1"/>
  <c r="I23" i="29"/>
  <c r="J23" i="29" s="1"/>
  <c r="I20" i="29"/>
  <c r="J20" i="29" s="1"/>
  <c r="I17" i="29"/>
  <c r="J17" i="29" s="1"/>
  <c r="I29" i="29"/>
  <c r="J29" i="29" s="1"/>
  <c r="G33" i="29"/>
  <c r="I21" i="29"/>
  <c r="J21" i="29" s="1"/>
  <c r="I18" i="29"/>
  <c r="J18" i="29" s="1"/>
  <c r="F33" i="29"/>
  <c r="I27" i="29"/>
  <c r="J27" i="29" s="1"/>
  <c r="I24" i="29"/>
  <c r="J24" i="29" s="1"/>
  <c r="J10" i="29" l="1"/>
  <c r="J33" i="29" s="1"/>
  <c r="I33" i="29"/>
  <c r="B17" i="31" l="1"/>
  <c r="F66" i="18" l="1"/>
  <c r="E66" i="18"/>
  <c r="D66" i="18"/>
  <c r="E20" i="18" s="1"/>
  <c r="C66" i="18"/>
  <c r="B66" i="18"/>
  <c r="F33" i="18"/>
  <c r="D33" i="18"/>
  <c r="C33" i="18"/>
  <c r="B33" i="18"/>
  <c r="I32" i="18"/>
  <c r="F32" i="18"/>
  <c r="D32" i="18"/>
  <c r="C32" i="18"/>
  <c r="B32" i="18"/>
  <c r="I31" i="18"/>
  <c r="F31" i="18"/>
  <c r="D31" i="18"/>
  <c r="C31" i="18"/>
  <c r="B31" i="18"/>
  <c r="I30" i="18"/>
  <c r="F30" i="18"/>
  <c r="D30" i="18"/>
  <c r="C30" i="18"/>
  <c r="B30" i="18"/>
  <c r="I29" i="18"/>
  <c r="F29" i="18"/>
  <c r="D29" i="18"/>
  <c r="C29" i="18"/>
  <c r="B29" i="18"/>
  <c r="I28" i="18"/>
  <c r="F28" i="18"/>
  <c r="D28" i="18"/>
  <c r="C28" i="18"/>
  <c r="B28" i="18"/>
  <c r="I27" i="18"/>
  <c r="F27" i="18"/>
  <c r="D27" i="18"/>
  <c r="C27" i="18"/>
  <c r="B27" i="18"/>
  <c r="I26" i="18"/>
  <c r="F26" i="18"/>
  <c r="D26" i="18"/>
  <c r="C26" i="18"/>
  <c r="B26" i="18"/>
  <c r="I25" i="18"/>
  <c r="F25" i="18"/>
  <c r="D25" i="18"/>
  <c r="C25" i="18"/>
  <c r="B25" i="18"/>
  <c r="I24" i="18"/>
  <c r="F24" i="18"/>
  <c r="D24" i="18"/>
  <c r="C24" i="18"/>
  <c r="B24" i="18"/>
  <c r="I23" i="18"/>
  <c r="F23" i="18"/>
  <c r="D23" i="18"/>
  <c r="C23" i="18"/>
  <c r="B23" i="18"/>
  <c r="I22" i="18"/>
  <c r="F22" i="18"/>
  <c r="D22" i="18"/>
  <c r="C22" i="18"/>
  <c r="B22" i="18"/>
  <c r="I21" i="18"/>
  <c r="F21" i="18"/>
  <c r="D21" i="18"/>
  <c r="C21" i="18"/>
  <c r="B21" i="18"/>
  <c r="I20" i="18"/>
  <c r="F20" i="18"/>
  <c r="D20" i="18"/>
  <c r="C20" i="18"/>
  <c r="B20" i="18"/>
  <c r="I19" i="18"/>
  <c r="F19" i="18"/>
  <c r="D19" i="18"/>
  <c r="C19" i="18"/>
  <c r="B19" i="18"/>
  <c r="I18" i="18"/>
  <c r="F18" i="18"/>
  <c r="D18" i="18"/>
  <c r="C18" i="18"/>
  <c r="B18" i="18"/>
  <c r="I17" i="18"/>
  <c r="F17" i="18"/>
  <c r="D17" i="18"/>
  <c r="C17" i="18"/>
  <c r="B17" i="18"/>
  <c r="I16" i="18"/>
  <c r="F16" i="18"/>
  <c r="D16" i="18"/>
  <c r="C16" i="18"/>
  <c r="B16" i="18"/>
  <c r="I15" i="18"/>
  <c r="F15" i="18"/>
  <c r="D15" i="18"/>
  <c r="C15" i="18"/>
  <c r="B15" i="18"/>
  <c r="I14" i="18"/>
  <c r="F14" i="18"/>
  <c r="D14" i="18"/>
  <c r="C14" i="18"/>
  <c r="B14" i="18"/>
  <c r="I13" i="18"/>
  <c r="F13" i="18"/>
  <c r="D13" i="18"/>
  <c r="C13" i="18"/>
  <c r="B13" i="18"/>
  <c r="I12" i="18"/>
  <c r="F12" i="18"/>
  <c r="D12" i="18"/>
  <c r="C12" i="18"/>
  <c r="B12" i="18"/>
  <c r="I11" i="18"/>
  <c r="F11" i="18"/>
  <c r="D11" i="18"/>
  <c r="C11" i="18"/>
  <c r="B11" i="18"/>
  <c r="I10" i="18"/>
  <c r="I33" i="18" s="1"/>
  <c r="F10" i="18"/>
  <c r="D10" i="18"/>
  <c r="C10" i="18"/>
  <c r="B10" i="18"/>
  <c r="L2" i="18"/>
  <c r="G17" i="18" l="1"/>
  <c r="H17" i="18" s="1"/>
  <c r="G33" i="18"/>
  <c r="G10" i="18"/>
  <c r="H10" i="18" s="1"/>
  <c r="G18" i="18"/>
  <c r="H18" i="18" s="1"/>
  <c r="G22" i="18"/>
  <c r="H22" i="18" s="1"/>
  <c r="G26" i="18"/>
  <c r="H26" i="18" s="1"/>
  <c r="G30" i="18"/>
  <c r="H30" i="18" s="1"/>
  <c r="G11" i="18"/>
  <c r="H11" i="18" s="1"/>
  <c r="G23" i="18"/>
  <c r="H23" i="18" s="1"/>
  <c r="G27" i="18"/>
  <c r="H27" i="18" s="1"/>
  <c r="G20" i="18"/>
  <c r="H20" i="18" s="1"/>
  <c r="G24" i="18"/>
  <c r="H24" i="18" s="1"/>
  <c r="G32" i="18"/>
  <c r="H32" i="18" s="1"/>
  <c r="E10" i="18"/>
  <c r="E12" i="18"/>
  <c r="G12" i="18" s="1"/>
  <c r="H12" i="18" s="1"/>
  <c r="E14" i="18"/>
  <c r="G14" i="18" s="1"/>
  <c r="H14" i="18" s="1"/>
  <c r="E16" i="18"/>
  <c r="G16" i="18" s="1"/>
  <c r="H16" i="18" s="1"/>
  <c r="E22" i="18"/>
  <c r="E24" i="18"/>
  <c r="E26" i="18"/>
  <c r="E28" i="18"/>
  <c r="G28" i="18" s="1"/>
  <c r="H28" i="18" s="1"/>
  <c r="E30" i="18"/>
  <c r="E32" i="18"/>
  <c r="E11" i="18"/>
  <c r="E13" i="18"/>
  <c r="G13" i="18" s="1"/>
  <c r="H13" i="18" s="1"/>
  <c r="E15" i="18"/>
  <c r="G15" i="18" s="1"/>
  <c r="H15" i="18" s="1"/>
  <c r="E17" i="18"/>
  <c r="E19" i="18"/>
  <c r="G19" i="18" s="1"/>
  <c r="H19" i="18" s="1"/>
  <c r="E21" i="18"/>
  <c r="G21" i="18" s="1"/>
  <c r="H21" i="18" s="1"/>
  <c r="E23" i="18"/>
  <c r="E25" i="18"/>
  <c r="G25" i="18" s="1"/>
  <c r="H25" i="18" s="1"/>
  <c r="E27" i="18"/>
  <c r="E29" i="18"/>
  <c r="G29" i="18" s="1"/>
  <c r="H29" i="18" s="1"/>
  <c r="E31" i="18"/>
  <c r="G31" i="18" s="1"/>
  <c r="H31" i="18" s="1"/>
  <c r="E33" i="18"/>
  <c r="E18" i="18"/>
  <c r="L21" i="18" l="1"/>
  <c r="J21" i="18"/>
  <c r="L13" i="18"/>
  <c r="J13" i="18"/>
  <c r="J16" i="18"/>
  <c r="L16" i="18"/>
  <c r="L23" i="18"/>
  <c r="J23" i="18"/>
  <c r="L19" i="18"/>
  <c r="J19" i="18"/>
  <c r="J14" i="18"/>
  <c r="L14" i="18"/>
  <c r="L11" i="18"/>
  <c r="J11" i="18"/>
  <c r="L25" i="18"/>
  <c r="J25" i="18"/>
  <c r="J12" i="18"/>
  <c r="L12" i="18"/>
  <c r="L31" i="18"/>
  <c r="J31" i="18"/>
  <c r="L15" i="18"/>
  <c r="J15" i="18"/>
  <c r="L27" i="18"/>
  <c r="J27" i="18"/>
  <c r="L29" i="18"/>
  <c r="J29" i="18"/>
  <c r="J28" i="18"/>
  <c r="L28" i="18"/>
  <c r="J17" i="18"/>
  <c r="L17" i="18"/>
  <c r="J32" i="18"/>
  <c r="L32" i="18"/>
  <c r="J24" i="18"/>
  <c r="L24" i="18"/>
  <c r="J26" i="18"/>
  <c r="L26" i="18"/>
  <c r="J18" i="18"/>
  <c r="L18" i="18"/>
  <c r="H33" i="18"/>
  <c r="J10" i="18"/>
  <c r="L10" i="18"/>
  <c r="J20" i="18"/>
  <c r="L20" i="18"/>
  <c r="J30" i="18"/>
  <c r="L30" i="18"/>
  <c r="J22" i="18"/>
  <c r="L22" i="18"/>
  <c r="L33" i="18" l="1"/>
  <c r="J33" i="18"/>
  <c r="N6" i="15" l="1"/>
  <c r="N11" i="15" l="1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0" i="15"/>
  <c r="F66" i="15" l="1"/>
  <c r="E66" i="15"/>
  <c r="D66" i="15"/>
  <c r="E30" i="15" s="1"/>
  <c r="C66" i="15"/>
  <c r="B66" i="15"/>
  <c r="C32" i="15" s="1"/>
  <c r="F33" i="15"/>
  <c r="D33" i="15"/>
  <c r="C33" i="15"/>
  <c r="B33" i="15"/>
  <c r="I32" i="15"/>
  <c r="F32" i="15"/>
  <c r="D32" i="15"/>
  <c r="B32" i="15"/>
  <c r="I31" i="15"/>
  <c r="F31" i="15"/>
  <c r="D31" i="15"/>
  <c r="C31" i="15"/>
  <c r="B31" i="15"/>
  <c r="I30" i="15"/>
  <c r="F30" i="15"/>
  <c r="D30" i="15"/>
  <c r="B30" i="15"/>
  <c r="I29" i="15"/>
  <c r="F29" i="15"/>
  <c r="D29" i="15"/>
  <c r="C29" i="15"/>
  <c r="B29" i="15"/>
  <c r="I28" i="15"/>
  <c r="F28" i="15"/>
  <c r="D28" i="15"/>
  <c r="B28" i="15"/>
  <c r="I27" i="15"/>
  <c r="F27" i="15"/>
  <c r="D27" i="15"/>
  <c r="C27" i="15"/>
  <c r="B27" i="15"/>
  <c r="I26" i="15"/>
  <c r="F26" i="15"/>
  <c r="D26" i="15"/>
  <c r="B26" i="15"/>
  <c r="I25" i="15"/>
  <c r="F25" i="15"/>
  <c r="D25" i="15"/>
  <c r="C25" i="15"/>
  <c r="B25" i="15"/>
  <c r="I24" i="15"/>
  <c r="F24" i="15"/>
  <c r="D24" i="15"/>
  <c r="B24" i="15"/>
  <c r="I23" i="15"/>
  <c r="F23" i="15"/>
  <c r="D23" i="15"/>
  <c r="C23" i="15"/>
  <c r="B23" i="15"/>
  <c r="I22" i="15"/>
  <c r="F22" i="15"/>
  <c r="D22" i="15"/>
  <c r="C22" i="15"/>
  <c r="B22" i="15"/>
  <c r="I21" i="15"/>
  <c r="F21" i="15"/>
  <c r="D21" i="15"/>
  <c r="C21" i="15"/>
  <c r="B21" i="15"/>
  <c r="I20" i="15"/>
  <c r="F20" i="15"/>
  <c r="D20" i="15"/>
  <c r="C20" i="15"/>
  <c r="B20" i="15"/>
  <c r="I19" i="15"/>
  <c r="F19" i="15"/>
  <c r="D19" i="15"/>
  <c r="C19" i="15"/>
  <c r="B19" i="15"/>
  <c r="I18" i="15"/>
  <c r="F18" i="15"/>
  <c r="D18" i="15"/>
  <c r="C18" i="15"/>
  <c r="B18" i="15"/>
  <c r="I17" i="15"/>
  <c r="F17" i="15"/>
  <c r="D17" i="15"/>
  <c r="C17" i="15"/>
  <c r="B17" i="15"/>
  <c r="I16" i="15"/>
  <c r="F16" i="15"/>
  <c r="D16" i="15"/>
  <c r="C16" i="15"/>
  <c r="B16" i="15"/>
  <c r="I15" i="15"/>
  <c r="F15" i="15"/>
  <c r="D15" i="15"/>
  <c r="C15" i="15"/>
  <c r="B15" i="15"/>
  <c r="I14" i="15"/>
  <c r="F14" i="15"/>
  <c r="D14" i="15"/>
  <c r="C14" i="15"/>
  <c r="B14" i="15"/>
  <c r="I13" i="15"/>
  <c r="F13" i="15"/>
  <c r="D13" i="15"/>
  <c r="C13" i="15"/>
  <c r="B13" i="15"/>
  <c r="I12" i="15"/>
  <c r="F12" i="15"/>
  <c r="D12" i="15"/>
  <c r="C12" i="15"/>
  <c r="B12" i="15"/>
  <c r="I11" i="15"/>
  <c r="F11" i="15"/>
  <c r="D11" i="15"/>
  <c r="C11" i="15"/>
  <c r="B11" i="15"/>
  <c r="I10" i="15"/>
  <c r="I33" i="15" s="1"/>
  <c r="F10" i="15"/>
  <c r="D10" i="15"/>
  <c r="C10" i="15"/>
  <c r="B10" i="15"/>
  <c r="L2" i="15"/>
  <c r="G13" i="15" l="1"/>
  <c r="H13" i="15" s="1"/>
  <c r="G21" i="15"/>
  <c r="H21" i="15" s="1"/>
  <c r="G23" i="15"/>
  <c r="H23" i="15" s="1"/>
  <c r="G12" i="15"/>
  <c r="H12" i="15" s="1"/>
  <c r="G20" i="15"/>
  <c r="H20" i="15" s="1"/>
  <c r="G33" i="15"/>
  <c r="E24" i="15"/>
  <c r="E26" i="15"/>
  <c r="E32" i="15"/>
  <c r="G32" i="15" s="1"/>
  <c r="H32" i="15" s="1"/>
  <c r="E11" i="15"/>
  <c r="G11" i="15" s="1"/>
  <c r="H11" i="15" s="1"/>
  <c r="E13" i="15"/>
  <c r="E15" i="15"/>
  <c r="G15" i="15" s="1"/>
  <c r="H15" i="15" s="1"/>
  <c r="E17" i="15"/>
  <c r="G17" i="15" s="1"/>
  <c r="H17" i="15" s="1"/>
  <c r="E19" i="15"/>
  <c r="G19" i="15" s="1"/>
  <c r="H19" i="15" s="1"/>
  <c r="E21" i="15"/>
  <c r="E23" i="15"/>
  <c r="C24" i="15"/>
  <c r="G24" i="15" s="1"/>
  <c r="H24" i="15" s="1"/>
  <c r="E25" i="15"/>
  <c r="G25" i="15" s="1"/>
  <c r="H25" i="15" s="1"/>
  <c r="C26" i="15"/>
  <c r="E27" i="15"/>
  <c r="G27" i="15" s="1"/>
  <c r="H27" i="15" s="1"/>
  <c r="C28" i="15"/>
  <c r="E29" i="15"/>
  <c r="G29" i="15" s="1"/>
  <c r="H29" i="15" s="1"/>
  <c r="C30" i="15"/>
  <c r="G30" i="15" s="1"/>
  <c r="H30" i="15" s="1"/>
  <c r="E31" i="15"/>
  <c r="G31" i="15" s="1"/>
  <c r="H31" i="15" s="1"/>
  <c r="E33" i="15"/>
  <c r="E10" i="15"/>
  <c r="G10" i="15" s="1"/>
  <c r="H10" i="15" s="1"/>
  <c r="E12" i="15"/>
  <c r="E14" i="15"/>
  <c r="G14" i="15" s="1"/>
  <c r="H14" i="15" s="1"/>
  <c r="E16" i="15"/>
  <c r="G16" i="15" s="1"/>
  <c r="H16" i="15" s="1"/>
  <c r="E18" i="15"/>
  <c r="G18" i="15" s="1"/>
  <c r="H18" i="15" s="1"/>
  <c r="E20" i="15"/>
  <c r="E22" i="15"/>
  <c r="G22" i="15" s="1"/>
  <c r="H22" i="15" s="1"/>
  <c r="E28" i="15"/>
  <c r="L23" i="15" l="1"/>
  <c r="J23" i="15"/>
  <c r="J18" i="15"/>
  <c r="L18" i="15"/>
  <c r="J10" i="15"/>
  <c r="L10" i="15"/>
  <c r="J29" i="15"/>
  <c r="L29" i="15"/>
  <c r="L25" i="15"/>
  <c r="J25" i="15"/>
  <c r="L19" i="15"/>
  <c r="J19" i="15"/>
  <c r="J11" i="15"/>
  <c r="L11" i="15"/>
  <c r="J21" i="15"/>
  <c r="L21" i="15"/>
  <c r="J16" i="15"/>
  <c r="L16" i="15"/>
  <c r="L17" i="15"/>
  <c r="J17" i="15"/>
  <c r="J32" i="15"/>
  <c r="L32" i="15"/>
  <c r="L13" i="15"/>
  <c r="J13" i="15"/>
  <c r="J22" i="15"/>
  <c r="L22" i="15"/>
  <c r="J14" i="15"/>
  <c r="L14" i="15"/>
  <c r="J31" i="15"/>
  <c r="L31" i="15"/>
  <c r="J27" i="15"/>
  <c r="L27" i="15"/>
  <c r="L15" i="15"/>
  <c r="J15" i="15"/>
  <c r="J20" i="15"/>
  <c r="L20" i="15"/>
  <c r="J12" i="15"/>
  <c r="L12" i="15"/>
  <c r="G28" i="15"/>
  <c r="H28" i="15" s="1"/>
  <c r="L24" i="15"/>
  <c r="J24" i="15"/>
  <c r="J30" i="15"/>
  <c r="L30" i="15"/>
  <c r="G26" i="15"/>
  <c r="H26" i="15" s="1"/>
  <c r="P32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9" i="13"/>
  <c r="J28" i="15" l="1"/>
  <c r="L28" i="15"/>
  <c r="L33" i="15"/>
  <c r="J33" i="15"/>
  <c r="L26" i="15"/>
  <c r="J26" i="15"/>
  <c r="H33" i="15"/>
  <c r="L2" i="13"/>
  <c r="C9" i="13" l="1"/>
  <c r="D9" i="13" s="1"/>
  <c r="C10" i="13"/>
  <c r="D10" i="13"/>
  <c r="C11" i="13"/>
  <c r="D11" i="13" s="1"/>
  <c r="C12" i="13"/>
  <c r="D12" i="13"/>
  <c r="C13" i="13"/>
  <c r="D13" i="13" s="1"/>
  <c r="C14" i="13"/>
  <c r="D14" i="13" s="1"/>
  <c r="C15" i="13"/>
  <c r="D15" i="13" s="1"/>
  <c r="C16" i="13"/>
  <c r="D16" i="13" s="1"/>
  <c r="C17" i="13"/>
  <c r="D17" i="13" s="1"/>
  <c r="C18" i="13"/>
  <c r="D18" i="13"/>
  <c r="C19" i="13"/>
  <c r="D19" i="13" s="1"/>
  <c r="C20" i="13"/>
  <c r="D20" i="13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/>
  <c r="C27" i="13"/>
  <c r="D27" i="13" s="1"/>
  <c r="C28" i="13"/>
  <c r="D28" i="13"/>
  <c r="C29" i="13"/>
  <c r="D29" i="13" s="1"/>
  <c r="C30" i="13"/>
  <c r="D30" i="13" s="1"/>
  <c r="C31" i="13"/>
  <c r="D31" i="13" s="1"/>
  <c r="C32" i="13"/>
  <c r="D32" i="13" s="1"/>
  <c r="F65" i="13"/>
  <c r="H31" i="13" s="1"/>
  <c r="E65" i="13"/>
  <c r="D65" i="13"/>
  <c r="G31" i="13" s="1"/>
  <c r="C65" i="13"/>
  <c r="B65" i="13"/>
  <c r="E28" i="13" s="1"/>
  <c r="K31" i="13"/>
  <c r="F31" i="13"/>
  <c r="K30" i="13"/>
  <c r="H30" i="13"/>
  <c r="F30" i="13"/>
  <c r="E30" i="13"/>
  <c r="K29" i="13"/>
  <c r="H29" i="13"/>
  <c r="G29" i="13"/>
  <c r="F29" i="13"/>
  <c r="E29" i="13"/>
  <c r="K28" i="13"/>
  <c r="H28" i="13"/>
  <c r="F28" i="13"/>
  <c r="K27" i="13"/>
  <c r="F27" i="13"/>
  <c r="E27" i="13"/>
  <c r="K26" i="13"/>
  <c r="H26" i="13"/>
  <c r="F26" i="13"/>
  <c r="E26" i="13"/>
  <c r="K25" i="13"/>
  <c r="H25" i="13"/>
  <c r="F25" i="13"/>
  <c r="E25" i="13"/>
  <c r="K24" i="13"/>
  <c r="H24" i="13"/>
  <c r="F24" i="13"/>
  <c r="K23" i="13"/>
  <c r="F23" i="13"/>
  <c r="E23" i="13"/>
  <c r="K22" i="13"/>
  <c r="H22" i="13"/>
  <c r="F22" i="13"/>
  <c r="E22" i="13"/>
  <c r="K21" i="13"/>
  <c r="H21" i="13"/>
  <c r="F21" i="13"/>
  <c r="E21" i="13"/>
  <c r="K20" i="13"/>
  <c r="H20" i="13"/>
  <c r="F20" i="13"/>
  <c r="K19" i="13"/>
  <c r="H19" i="13"/>
  <c r="F19" i="13"/>
  <c r="E19" i="13"/>
  <c r="K18" i="13"/>
  <c r="H18" i="13"/>
  <c r="F18" i="13"/>
  <c r="E18" i="13"/>
  <c r="K17" i="13"/>
  <c r="F17" i="13"/>
  <c r="E17" i="13"/>
  <c r="K16" i="13"/>
  <c r="H16" i="13"/>
  <c r="F16" i="13"/>
  <c r="E16" i="13"/>
  <c r="K15" i="13"/>
  <c r="H15" i="13"/>
  <c r="F15" i="13"/>
  <c r="E15" i="13"/>
  <c r="K14" i="13"/>
  <c r="H14" i="13"/>
  <c r="F14" i="13"/>
  <c r="E14" i="13"/>
  <c r="K13" i="13"/>
  <c r="H13" i="13"/>
  <c r="F13" i="13"/>
  <c r="E13" i="13"/>
  <c r="K12" i="13"/>
  <c r="H12" i="13"/>
  <c r="F12" i="13"/>
  <c r="E12" i="13"/>
  <c r="K11" i="13"/>
  <c r="H11" i="13"/>
  <c r="F11" i="13"/>
  <c r="E11" i="13"/>
  <c r="K10" i="13"/>
  <c r="H10" i="13"/>
  <c r="F10" i="13"/>
  <c r="E10" i="13"/>
  <c r="K9" i="13"/>
  <c r="H9" i="13"/>
  <c r="F9" i="13"/>
  <c r="E9" i="13"/>
  <c r="G9" i="13" l="1"/>
  <c r="G25" i="13"/>
  <c r="I25" i="13" s="1"/>
  <c r="J25" i="13" s="1"/>
  <c r="J31" i="13"/>
  <c r="L31" i="13" s="1"/>
  <c r="G13" i="13"/>
  <c r="I13" i="13" s="1"/>
  <c r="J13" i="13" s="1"/>
  <c r="G21" i="13"/>
  <c r="I21" i="13" s="1"/>
  <c r="J21" i="13" s="1"/>
  <c r="I29" i="13"/>
  <c r="J29" i="13" s="1"/>
  <c r="H17" i="13"/>
  <c r="F32" i="13"/>
  <c r="I17" i="13"/>
  <c r="J17" i="13" s="1"/>
  <c r="K32" i="13"/>
  <c r="G17" i="13"/>
  <c r="E31" i="13"/>
  <c r="I31" i="13" s="1"/>
  <c r="I30" i="13"/>
  <c r="J30" i="13" s="1"/>
  <c r="I14" i="13"/>
  <c r="J14" i="13" s="1"/>
  <c r="I10" i="13"/>
  <c r="J10" i="13" s="1"/>
  <c r="I16" i="13"/>
  <c r="J16" i="13" s="1"/>
  <c r="G12" i="13"/>
  <c r="I12" i="13" s="1"/>
  <c r="J12" i="13" s="1"/>
  <c r="G16" i="13"/>
  <c r="G24" i="13"/>
  <c r="G28" i="13"/>
  <c r="I28" i="13" s="1"/>
  <c r="J28" i="13" s="1"/>
  <c r="I9" i="13"/>
  <c r="G10" i="13"/>
  <c r="G14" i="13"/>
  <c r="G18" i="13"/>
  <c r="I18" i="13" s="1"/>
  <c r="J18" i="13" s="1"/>
  <c r="E20" i="13"/>
  <c r="I20" i="13" s="1"/>
  <c r="J20" i="13" s="1"/>
  <c r="G22" i="13"/>
  <c r="I22" i="13" s="1"/>
  <c r="J22" i="13" s="1"/>
  <c r="H23" i="13"/>
  <c r="E24" i="13"/>
  <c r="I24" i="13" s="1"/>
  <c r="J24" i="13" s="1"/>
  <c r="G26" i="13"/>
  <c r="I26" i="13" s="1"/>
  <c r="J26" i="13" s="1"/>
  <c r="H27" i="13"/>
  <c r="G30" i="13"/>
  <c r="G20" i="13"/>
  <c r="G11" i="13"/>
  <c r="I11" i="13" s="1"/>
  <c r="J11" i="13" s="1"/>
  <c r="G15" i="13"/>
  <c r="I15" i="13" s="1"/>
  <c r="J15" i="13" s="1"/>
  <c r="G19" i="13"/>
  <c r="I19" i="13" s="1"/>
  <c r="J19" i="13" s="1"/>
  <c r="G23" i="13"/>
  <c r="I23" i="13" s="1"/>
  <c r="J23" i="13" s="1"/>
  <c r="G27" i="13"/>
  <c r="I27" i="13" s="1"/>
  <c r="J27" i="13" s="1"/>
  <c r="L21" i="13" l="1"/>
  <c r="N21" i="13"/>
  <c r="L13" i="13"/>
  <c r="N13" i="13"/>
  <c r="L29" i="13"/>
  <c r="N29" i="13"/>
  <c r="L25" i="13"/>
  <c r="N25" i="13"/>
  <c r="H32" i="13"/>
  <c r="N31" i="13"/>
  <c r="N19" i="13"/>
  <c r="L19" i="13"/>
  <c r="L15" i="13"/>
  <c r="N15" i="13"/>
  <c r="N14" i="13"/>
  <c r="L14" i="13"/>
  <c r="N27" i="13"/>
  <c r="L27" i="13"/>
  <c r="N11" i="13"/>
  <c r="L11" i="13"/>
  <c r="L26" i="13"/>
  <c r="N26" i="13"/>
  <c r="L20" i="13"/>
  <c r="N20" i="13"/>
  <c r="N12" i="13"/>
  <c r="L12" i="13"/>
  <c r="L16" i="13"/>
  <c r="N16" i="13"/>
  <c r="N30" i="13"/>
  <c r="L30" i="13"/>
  <c r="N23" i="13"/>
  <c r="L23" i="13"/>
  <c r="N18" i="13"/>
  <c r="L18" i="13"/>
  <c r="L28" i="13"/>
  <c r="N28" i="13"/>
  <c r="N10" i="13"/>
  <c r="L10" i="13"/>
  <c r="G32" i="13"/>
  <c r="N17" i="13"/>
  <c r="L17" i="13"/>
  <c r="I32" i="13"/>
  <c r="J32" i="13" s="1"/>
  <c r="L22" i="13"/>
  <c r="N22" i="13"/>
  <c r="J9" i="13"/>
  <c r="L24" i="13"/>
  <c r="N24" i="13"/>
  <c r="E32" i="13"/>
  <c r="L9" i="13" l="1"/>
  <c r="L32" i="13" s="1"/>
  <c r="N9" i="13"/>
  <c r="N32" i="13" s="1"/>
  <c r="L31" i="8" l="1"/>
  <c r="L30" i="8"/>
  <c r="L29" i="8"/>
  <c r="L26" i="8"/>
  <c r="L11" i="8"/>
  <c r="L16" i="8"/>
  <c r="L10" i="8"/>
  <c r="L12" i="8"/>
  <c r="L13" i="8"/>
  <c r="L14" i="8"/>
  <c r="L15" i="8"/>
  <c r="L17" i="8"/>
  <c r="L18" i="8"/>
  <c r="L19" i="8"/>
  <c r="L20" i="8"/>
  <c r="L21" i="8"/>
  <c r="L22" i="8"/>
  <c r="L23" i="8"/>
  <c r="L24" i="8"/>
  <c r="L25" i="8"/>
  <c r="L27" i="8"/>
  <c r="L28" i="8"/>
  <c r="L9" i="8"/>
  <c r="L32" i="8" l="1"/>
  <c r="I32" i="8"/>
  <c r="G32" i="8"/>
  <c r="I2" i="8"/>
  <c r="G31" i="8"/>
  <c r="G29" i="8"/>
  <c r="G25" i="8"/>
  <c r="G22" i="8"/>
  <c r="G13" i="8"/>
  <c r="G12" i="8"/>
  <c r="G9" i="8"/>
  <c r="I30" i="8" l="1"/>
  <c r="I29" i="8"/>
  <c r="H32" i="8"/>
  <c r="H31" i="8"/>
  <c r="H21" i="8"/>
  <c r="H20" i="8"/>
  <c r="H19" i="8"/>
  <c r="H16" i="8"/>
  <c r="G26" i="8"/>
  <c r="I25" i="8"/>
  <c r="G24" i="8"/>
  <c r="I24" i="8" s="1"/>
  <c r="B10" i="8"/>
  <c r="G10" i="8" s="1"/>
  <c r="G16" i="8"/>
  <c r="G28" i="8"/>
  <c r="C65" i="8"/>
  <c r="B32" i="8" s="1"/>
  <c r="I3" i="8" s="1"/>
  <c r="B65" i="8"/>
  <c r="J32" i="8"/>
  <c r="B31" i="8"/>
  <c r="B30" i="8"/>
  <c r="G30" i="8" s="1"/>
  <c r="B29" i="8"/>
  <c r="B28" i="8"/>
  <c r="B27" i="8"/>
  <c r="G27" i="8" s="1"/>
  <c r="B26" i="8"/>
  <c r="B25" i="8"/>
  <c r="B24" i="8"/>
  <c r="B23" i="8"/>
  <c r="G23" i="8" s="1"/>
  <c r="B22" i="8"/>
  <c r="B21" i="8"/>
  <c r="G21" i="8" s="1"/>
  <c r="B20" i="8"/>
  <c r="G20" i="8" s="1"/>
  <c r="B19" i="8"/>
  <c r="G19" i="8" s="1"/>
  <c r="B18" i="8"/>
  <c r="G18" i="8" s="1"/>
  <c r="B17" i="8"/>
  <c r="G17" i="8" s="1"/>
  <c r="B16" i="8"/>
  <c r="B15" i="8"/>
  <c r="G15" i="8" s="1"/>
  <c r="B14" i="8"/>
  <c r="G14" i="8" s="1"/>
  <c r="B13" i="8"/>
  <c r="B12" i="8"/>
  <c r="B11" i="8"/>
  <c r="G11" i="8" s="1"/>
  <c r="B9" i="8"/>
  <c r="I4" i="8"/>
  <c r="I27" i="8" l="1"/>
  <c r="I20" i="8"/>
  <c r="I19" i="8"/>
  <c r="I14" i="8"/>
  <c r="I12" i="8"/>
  <c r="I9" i="8"/>
  <c r="K2" i="4"/>
  <c r="J33" i="4"/>
  <c r="I13" i="8" l="1"/>
  <c r="I18" i="8"/>
  <c r="I28" i="8"/>
  <c r="I22" i="8"/>
  <c r="K5" i="4"/>
  <c r="I17" i="8" l="1"/>
  <c r="I11" i="8"/>
  <c r="I16" i="8"/>
  <c r="I10" i="8"/>
  <c r="I31" i="8"/>
  <c r="I21" i="8"/>
  <c r="I15" i="8"/>
  <c r="I23" i="8"/>
  <c r="I26" i="8"/>
  <c r="D33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0" i="4"/>
  <c r="C11" i="4"/>
  <c r="C16" i="4" l="1"/>
  <c r="C18" i="4" l="1"/>
  <c r="C10" i="4"/>
  <c r="E66" i="4"/>
  <c r="D10" i="4" l="1"/>
  <c r="C33" i="4"/>
  <c r="C66" i="4" l="1"/>
  <c r="B33" i="4"/>
  <c r="C32" i="4" l="1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5" i="4"/>
  <c r="C14" i="4"/>
  <c r="C13" i="4"/>
  <c r="C12" i="4"/>
  <c r="L33" i="4" l="1"/>
  <c r="K4" i="4" l="1"/>
  <c r="B25" i="4"/>
  <c r="B19" i="4"/>
  <c r="B15" i="4"/>
  <c r="B13" i="4"/>
  <c r="H44" i="4"/>
  <c r="H45" i="4"/>
  <c r="B12" i="4" s="1"/>
  <c r="H46" i="4"/>
  <c r="H47" i="4"/>
  <c r="B14" i="4" s="1"/>
  <c r="H48" i="4"/>
  <c r="H49" i="4"/>
  <c r="B16" i="4" s="1"/>
  <c r="H50" i="4"/>
  <c r="B17" i="4" s="1"/>
  <c r="H51" i="4"/>
  <c r="B18" i="4" s="1"/>
  <c r="H52" i="4"/>
  <c r="H53" i="4"/>
  <c r="B20" i="4" s="1"/>
  <c r="H54" i="4"/>
  <c r="B21" i="4" s="1"/>
  <c r="H55" i="4"/>
  <c r="B22" i="4" s="1"/>
  <c r="B23" i="4"/>
  <c r="H57" i="4"/>
  <c r="B24" i="4" s="1"/>
  <c r="H58" i="4"/>
  <c r="H59" i="4"/>
  <c r="B26" i="4" s="1"/>
  <c r="H60" i="4"/>
  <c r="B27" i="4" s="1"/>
  <c r="H61" i="4"/>
  <c r="B28" i="4" s="1"/>
  <c r="H62" i="4"/>
  <c r="B29" i="4" s="1"/>
  <c r="H63" i="4"/>
  <c r="B30" i="4" s="1"/>
  <c r="H64" i="4"/>
  <c r="B31" i="4" s="1"/>
  <c r="H65" i="4"/>
  <c r="B32" i="4" s="1"/>
  <c r="H43" i="4"/>
  <c r="B10" i="4" s="1"/>
  <c r="G66" i="4"/>
  <c r="F66" i="4"/>
  <c r="H66" i="4" l="1"/>
  <c r="B11" i="4"/>
  <c r="K3" i="4" s="1"/>
  <c r="D66" i="4" l="1"/>
  <c r="B66" i="4"/>
  <c r="F31" i="4" l="1"/>
  <c r="F27" i="4"/>
  <c r="E15" i="4"/>
  <c r="E29" i="4"/>
  <c r="F22" i="4"/>
  <c r="F19" i="4"/>
  <c r="E21" i="4"/>
  <c r="F15" i="4"/>
  <c r="F21" i="4"/>
  <c r="G12" i="4"/>
  <c r="E31" i="4"/>
  <c r="F10" i="4"/>
  <c r="E32" i="4"/>
  <c r="F24" i="4"/>
  <c r="E30" i="4"/>
  <c r="F16" i="4"/>
  <c r="E23" i="4"/>
  <c r="E20" i="4"/>
  <c r="E10" i="4"/>
  <c r="E11" i="4"/>
  <c r="F32" i="4"/>
  <c r="F29" i="4"/>
  <c r="F25" i="4"/>
  <c r="F23" i="4"/>
  <c r="F20" i="4"/>
  <c r="F17" i="4"/>
  <c r="F13" i="4"/>
  <c r="F11" i="4"/>
  <c r="F30" i="4"/>
  <c r="F28" i="4"/>
  <c r="F26" i="4"/>
  <c r="F18" i="4"/>
  <c r="F14" i="4"/>
  <c r="F12" i="4"/>
  <c r="E12" i="4"/>
  <c r="H12" i="4" s="1"/>
  <c r="I12" i="4" s="1"/>
  <c r="E14" i="4"/>
  <c r="E16" i="4"/>
  <c r="E22" i="4"/>
  <c r="E24" i="4"/>
  <c r="E26" i="4"/>
  <c r="E28" i="4"/>
  <c r="E13" i="4"/>
  <c r="E17" i="4"/>
  <c r="E19" i="4"/>
  <c r="E25" i="4"/>
  <c r="E27" i="4"/>
  <c r="E18" i="4"/>
  <c r="G29" i="4"/>
  <c r="G25" i="4"/>
  <c r="G21" i="4"/>
  <c r="G17" i="4"/>
  <c r="G13" i="4"/>
  <c r="G32" i="4"/>
  <c r="G28" i="4"/>
  <c r="G24" i="4"/>
  <c r="G20" i="4"/>
  <c r="G16" i="4"/>
  <c r="G31" i="4"/>
  <c r="G27" i="4"/>
  <c r="G23" i="4"/>
  <c r="G19" i="4"/>
  <c r="G15" i="4"/>
  <c r="G11" i="4"/>
  <c r="G30" i="4"/>
  <c r="G26" i="4"/>
  <c r="G22" i="4"/>
  <c r="G18" i="4"/>
  <c r="G14" i="4"/>
  <c r="G10" i="4"/>
  <c r="H19" i="4" l="1"/>
  <c r="I19" i="4" s="1"/>
  <c r="K19" i="4" s="1"/>
  <c r="F33" i="4"/>
  <c r="H29" i="4"/>
  <c r="E33" i="4"/>
  <c r="H31" i="4"/>
  <c r="I31" i="4" s="1"/>
  <c r="K31" i="4" s="1"/>
  <c r="H21" i="4"/>
  <c r="I21" i="4" s="1"/>
  <c r="K21" i="4" s="1"/>
  <c r="H15" i="4"/>
  <c r="I15" i="4" s="1"/>
  <c r="K15" i="4" s="1"/>
  <c r="H27" i="4"/>
  <c r="I27" i="4" s="1"/>
  <c r="M27" i="4" s="1"/>
  <c r="H22" i="4"/>
  <c r="I22" i="4" s="1"/>
  <c r="K22" i="4" s="1"/>
  <c r="H20" i="4"/>
  <c r="I20" i="4" s="1"/>
  <c r="M20" i="4" s="1"/>
  <c r="G33" i="4"/>
  <c r="H16" i="4"/>
  <c r="I16" i="4" s="1"/>
  <c r="H10" i="4"/>
  <c r="H30" i="4"/>
  <c r="I30" i="4" s="1"/>
  <c r="K30" i="4" s="1"/>
  <c r="I29" i="4"/>
  <c r="K29" i="4" s="1"/>
  <c r="H17" i="4"/>
  <c r="I17" i="4" s="1"/>
  <c r="K17" i="4" s="1"/>
  <c r="H26" i="4"/>
  <c r="I26" i="4" s="1"/>
  <c r="K26" i="4" s="1"/>
  <c r="H24" i="4"/>
  <c r="H25" i="4"/>
  <c r="I25" i="4" s="1"/>
  <c r="K25" i="4" s="1"/>
  <c r="H13" i="4"/>
  <c r="I13" i="4" s="1"/>
  <c r="K13" i="4" s="1"/>
  <c r="H32" i="4"/>
  <c r="I32" i="4" s="1"/>
  <c r="K32" i="4" s="1"/>
  <c r="H14" i="4"/>
  <c r="I14" i="4" s="1"/>
  <c r="K14" i="4" s="1"/>
  <c r="H23" i="4"/>
  <c r="I23" i="4" s="1"/>
  <c r="M23" i="4" s="1"/>
  <c r="H18" i="4"/>
  <c r="I18" i="4" s="1"/>
  <c r="K18" i="4" s="1"/>
  <c r="H11" i="4"/>
  <c r="I11" i="4" s="1"/>
  <c r="K12" i="4"/>
  <c r="H28" i="4"/>
  <c r="I28" i="4" s="1"/>
  <c r="K28" i="4" s="1"/>
  <c r="H33" i="4" l="1"/>
  <c r="K20" i="4"/>
  <c r="I24" i="4"/>
  <c r="K24" i="4" s="1"/>
  <c r="K16" i="4"/>
  <c r="I33" i="4"/>
  <c r="K11" i="4"/>
  <c r="K27" i="4"/>
  <c r="K23" i="4"/>
  <c r="I10" i="4"/>
  <c r="M28" i="4"/>
  <c r="M25" i="4"/>
  <c r="M17" i="4"/>
  <c r="M29" i="4"/>
  <c r="M12" i="4"/>
  <c r="M24" i="4"/>
  <c r="M32" i="4"/>
  <c r="M21" i="4"/>
  <c r="M19" i="4"/>
  <c r="M16" i="4"/>
  <c r="M31" i="4"/>
  <c r="M26" i="4"/>
  <c r="M11" i="4"/>
  <c r="M18" i="4"/>
  <c r="M15" i="4"/>
  <c r="M30" i="4"/>
  <c r="M13" i="4"/>
  <c r="M22" i="4"/>
  <c r="M14" i="4"/>
  <c r="M10" i="4" l="1"/>
  <c r="M33" i="4" s="1"/>
  <c r="K10" i="4"/>
  <c r="K33" i="4" s="1"/>
</calcChain>
</file>

<file path=xl/sharedStrings.xml><?xml version="1.0" encoding="utf-8"?>
<sst xmlns="http://schemas.openxmlformats.org/spreadsheetml/2006/main" count="534" uniqueCount="134">
  <si>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</si>
  <si>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</si>
  <si>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</si>
  <si>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</si>
  <si>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</si>
  <si>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</si>
  <si>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</si>
  <si>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</si>
  <si>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</si>
  <si>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</si>
  <si>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</si>
  <si>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</si>
  <si>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</si>
  <si>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</si>
  <si>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</si>
  <si>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</si>
  <si>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</si>
  <si>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</si>
  <si>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</si>
  <si>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</si>
  <si>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</si>
  <si>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</si>
  <si>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</si>
  <si>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</si>
  <si>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</si>
  <si>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</si>
  <si>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</si>
  <si>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</si>
  <si>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</si>
  <si>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</si>
  <si>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</si>
  <si>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</si>
  <si>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</si>
  <si>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</si>
  <si>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</si>
  <si>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</si>
  <si>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</si>
  <si>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</si>
  <si>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</si>
  <si>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</si>
  <si>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</si>
  <si>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</si>
  <si>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</si>
  <si>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</si>
  <si>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tis. Kč</t>
  </si>
  <si>
    <t>Celková plocha zeleně m2</t>
  </si>
  <si>
    <t>Průměrná cena/ m2 zeleně</t>
  </si>
  <si>
    <t>v tis. Kč</t>
  </si>
  <si>
    <t>rozdíl (4-5) bez navýšení</t>
  </si>
  <si>
    <t>Dotace na 1 žáka</t>
  </si>
  <si>
    <t>Náklady na údržbu zeleně v Kč</t>
  </si>
  <si>
    <t>Dokrývání MO v roce 2017</t>
  </si>
  <si>
    <t>neúčelová dotace 2017</t>
  </si>
  <si>
    <t xml:space="preserve">Počty žáků ZŠ a MŠ </t>
  </si>
  <si>
    <t xml:space="preserve">neúčelová a účelová dotace 2016 </t>
  </si>
  <si>
    <t>Výše dotace v roce</t>
  </si>
  <si>
    <t>(s počtem žáků z minulého roku a počtem obyvatel k 1.10.2016)</t>
  </si>
  <si>
    <t>Počet obyvatel k 1.10.2016</t>
  </si>
  <si>
    <t>Celkem v tis. Kč      (2+3+4)</t>
  </si>
  <si>
    <t xml:space="preserve">CELKEM   (1+5)     </t>
  </si>
  <si>
    <t>rozdíl (6-7) bez dokrytí</t>
  </si>
  <si>
    <t xml:space="preserve">CELKEM   </t>
  </si>
  <si>
    <t>z toho:            žáci</t>
  </si>
  <si>
    <t>neúčelová  dotace 2016 bez dokrytí</t>
  </si>
  <si>
    <t>(s aktuálním počtem žáků 2016/2017 a počtem obyvatel k 1.10.2016)</t>
  </si>
  <si>
    <t>celkem neúčelová dotace 2017 (6+9+10)</t>
  </si>
  <si>
    <t>rozloha zelených ploch</t>
  </si>
  <si>
    <t>Počet obyvatel k 1.4.2017</t>
  </si>
  <si>
    <t>Dokrývání MO v roce 2018</t>
  </si>
  <si>
    <t>(1/10 z celkových sdílených daní 7 155 017 307 Kč)</t>
  </si>
  <si>
    <t>Výše dotace v roce v tis. Kč</t>
  </si>
  <si>
    <t>(s počtem žáků z minulého roku 2016/2017, počtem obyvatel k 1.4.2017, bez dokrytí malým obvodům)</t>
  </si>
  <si>
    <t>neúčelová dotace 2018</t>
  </si>
  <si>
    <t xml:space="preserve">neúčelová   dotace včetně zeleně 2017 </t>
  </si>
  <si>
    <t>dotace na žáka (13,384 tis. Kč)</t>
  </si>
  <si>
    <t>navýšení na 1 obyv.v Kč</t>
  </si>
  <si>
    <t>dotace na 1 obyv.</t>
  </si>
  <si>
    <t>průměr</t>
  </si>
  <si>
    <t>Počet obyvatel k 1.10.2017</t>
  </si>
  <si>
    <t>CELKEM (1+2)</t>
  </si>
  <si>
    <t xml:space="preserve">neúčelová a účelová dotace 2017 </t>
  </si>
  <si>
    <t>navýšení na 1 obyv.</t>
  </si>
  <si>
    <t>neúčelová dotace 2018 na 1 obyvatele</t>
  </si>
  <si>
    <t>(navýšení sdílených daní o 125 233 333 na</t>
  </si>
  <si>
    <t>7 280 250 640 Kč)</t>
  </si>
  <si>
    <t xml:space="preserve">z toho: žáci           </t>
  </si>
  <si>
    <t>rozdíl (3-4) bez navýšení</t>
  </si>
  <si>
    <t>(s počtem žáků z minulého roku a počtem obyvatel k 1.10.2017)</t>
  </si>
  <si>
    <t>(s počtem žáků ZŠ šk.r.2016/2017, MŠ šk.r.2017/2018 a počtem obyvatel k 1.10.2017)</t>
  </si>
  <si>
    <t xml:space="preserve">neúčelová dotace 2017 </t>
  </si>
  <si>
    <t>sdílené daně</t>
  </si>
  <si>
    <t>celková výše dotace - 3 % ze sdílených daní</t>
  </si>
  <si>
    <t>základní příděl = 1 000 tis. Kč/městský obvod</t>
  </si>
  <si>
    <t>k rozdělení dle kritérií</t>
  </si>
  <si>
    <t>Rozloha komunikací         v m2</t>
  </si>
  <si>
    <t>55%                 dle počtu obyvatel</t>
  </si>
  <si>
    <t>15%                      dle rozlohy obvodu</t>
  </si>
  <si>
    <t>30%                 dle rozlohy komunik.</t>
  </si>
  <si>
    <t>základ                    1 000 tis. Kč/    měst.obvod</t>
  </si>
  <si>
    <t>rozdělení dle kritérií</t>
  </si>
  <si>
    <t>Celkem</t>
  </si>
  <si>
    <t>Rozloha MO
v  km2</t>
  </si>
  <si>
    <t>Počet obyvatel         k 1. 10. 2020</t>
  </si>
  <si>
    <t>Neúčelová investiční dotace pro městské obvody na rok 2021</t>
  </si>
  <si>
    <t>celkem v tis. Kč</t>
  </si>
  <si>
    <t xml:space="preserve">neúčelová dotace 2020 </t>
  </si>
  <si>
    <t>neúčelová dotace 2021</t>
  </si>
  <si>
    <t>Počet obyvatel k 1.10.2020</t>
  </si>
  <si>
    <t>Rozloha městského obvodu v ha</t>
  </si>
  <si>
    <t>Rozloha komunikací v m²</t>
  </si>
  <si>
    <t>Celková plocha zeleně m²</t>
  </si>
  <si>
    <t>aktualizace</t>
  </si>
  <si>
    <t>k 1.10.2020</t>
  </si>
  <si>
    <t>k 20.9.2020</t>
  </si>
  <si>
    <t>k 15.9.2020</t>
  </si>
  <si>
    <t>šk. rok</t>
  </si>
  <si>
    <t>k 7.10.2020</t>
  </si>
  <si>
    <t>městský obvod</t>
  </si>
  <si>
    <t>částka</t>
  </si>
  <si>
    <t>ÚZ</t>
  </si>
  <si>
    <t>ÚHRN</t>
  </si>
  <si>
    <t>Převod nevyčerpaných neúčelových investičních dotací 
pro městské obvody z roku 2020</t>
  </si>
  <si>
    <t>k rozdělení</t>
  </si>
  <si>
    <t>(s aktuálním počtem žáků ZŠ, MŠ šk. rok 2020/2021)</t>
  </si>
  <si>
    <t>*</t>
  </si>
  <si>
    <t>2020/2021</t>
  </si>
  <si>
    <t xml:space="preserve">* dotace na žáka ve výši 13,388 tis. kč je vypočtena z predikovaného objemu sdílených daní pro rok 2021 na základě podílového koeficientu pro školství  a počtu žáků ZŠ a MŠ Ostravy ve výši </t>
  </si>
  <si>
    <t xml:space="preserve">30 654 určených  vyhláškou MF č. 358/2020  Sb. Původní navrhovaná dotace ve výši 407 383 tis. Kč vychází z počtu 30 429 žáků ve šk. roce 2019/2020. Nová výše dotace je vypočtena z aktuálního počtu </t>
  </si>
  <si>
    <t>žáků ve šk. roce 2020/2021 ve výši 30 127 a celkově je o  4 043 tis. Kč nižší než původní návrh. Rozdíl dotací půjde do rezervy města.</t>
  </si>
  <si>
    <t xml:space="preserve"> (1/10 z celkových sdílených daní 7 199 334 173 Kč)</t>
  </si>
  <si>
    <t>rozdíl  MOb 
(3-4)</t>
  </si>
  <si>
    <t xml:space="preserve">dotace na žáka (13,388 tis. Kč/
1 žáka) </t>
  </si>
  <si>
    <t>Výše dotace v roce 2021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</si>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</sst>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25">
    <xf numFmtId="0" fontId="0" fillId="0" borderId="0" xfId="0"/>
    <xf numFmtId="3" fontId="0" fillId="3" borderId="16" xfId="0" applyNumberFormat="1" applyFont="1" applyFill="1" applyBorder="1" applyProtection="1">
      <protection hidden="1"/>
    </xf>
    <xf numFmtId="3" fontId="0" fillId="3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3" borderId="20" xfId="0" applyNumberFormat="1" applyFont="1" applyFill="1" applyBorder="1" applyProtection="1">
      <protection hidden="1"/>
    </xf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Alignment="1">
      <alignment horizontal="right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9" fontId="2" fillId="2" borderId="13" xfId="0" applyNumberFormat="1" applyFont="1" applyFill="1" applyBorder="1" applyAlignment="1" applyProtection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3" fontId="0" fillId="3" borderId="32" xfId="0" applyNumberFormat="1" applyFont="1" applyFill="1" applyBorder="1" applyProtection="1">
      <protection hidden="1"/>
    </xf>
    <xf numFmtId="3" fontId="0" fillId="3" borderId="17" xfId="0" applyNumberFormat="1" applyFont="1" applyFill="1" applyBorder="1" applyProtection="1">
      <protection hidden="1"/>
    </xf>
    <xf numFmtId="3" fontId="0" fillId="3" borderId="27" xfId="0" applyNumberFormat="1" applyFont="1" applyFill="1" applyBorder="1" applyProtection="1">
      <protection hidden="1"/>
    </xf>
    <xf numFmtId="3" fontId="0" fillId="3" borderId="19" xfId="0" applyNumberFormat="1" applyFont="1" applyFill="1" applyBorder="1" applyProtection="1">
      <protection hidden="1"/>
    </xf>
    <xf numFmtId="3" fontId="0" fillId="3" borderId="21" xfId="0" applyNumberFormat="1" applyFont="1" applyFill="1" applyBorder="1" applyProtection="1">
      <protection hidden="1"/>
    </xf>
    <xf numFmtId="3" fontId="11" fillId="3" borderId="31" xfId="0" applyNumberFormat="1" applyFont="1" applyFill="1" applyBorder="1" applyProtection="1">
      <protection hidden="1"/>
    </xf>
    <xf numFmtId="3" fontId="11" fillId="3" borderId="33" xfId="0" applyNumberFormat="1" applyFont="1" applyFill="1" applyBorder="1" applyProtection="1">
      <protection hidden="1"/>
    </xf>
    <xf numFmtId="3" fontId="5" fillId="7" borderId="0" xfId="0" applyNumberFormat="1" applyFont="1" applyFill="1" applyAlignment="1">
      <alignment horizontal="right"/>
    </xf>
    <xf numFmtId="3" fontId="5" fillId="8" borderId="0" xfId="0" applyNumberFormat="1" applyFont="1" applyFill="1" applyAlignment="1">
      <alignment horizontal="right"/>
    </xf>
    <xf numFmtId="0" fontId="11" fillId="5" borderId="0" xfId="0" applyFont="1" applyFill="1"/>
    <xf numFmtId="3" fontId="5" fillId="10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4" borderId="1" xfId="0" applyNumberFormat="1" applyFont="1" applyFill="1" applyBorder="1" applyProtection="1"/>
    <xf numFmtId="4" fontId="1" fillId="4" borderId="23" xfId="0" applyNumberFormat="1" applyFont="1" applyFill="1" applyBorder="1" applyProtection="1"/>
    <xf numFmtId="3" fontId="1" fillId="4" borderId="2" xfId="0" applyNumberFormat="1" applyFont="1" applyFill="1" applyBorder="1" applyProtection="1">
      <protection hidden="1"/>
    </xf>
    <xf numFmtId="3" fontId="1" fillId="4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4" borderId="2" xfId="0" applyNumberFormat="1" applyFill="1" applyBorder="1"/>
    <xf numFmtId="0" fontId="9" fillId="6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4" borderId="26" xfId="0" applyNumberFormat="1" applyFill="1" applyBorder="1"/>
    <xf numFmtId="3" fontId="0" fillId="5" borderId="40" xfId="0" applyNumberFormat="1" applyFill="1" applyBorder="1"/>
    <xf numFmtId="3" fontId="0" fillId="5" borderId="41" xfId="0" applyNumberFormat="1" applyFill="1" applyBorder="1"/>
    <xf numFmtId="2" fontId="0" fillId="0" borderId="42" xfId="0" applyNumberFormat="1" applyBorder="1"/>
    <xf numFmtId="0" fontId="7" fillId="5" borderId="48" xfId="0" quotePrefix="1" applyFont="1" applyFill="1" applyBorder="1" applyAlignment="1" applyProtection="1">
      <alignment horizontal="left"/>
    </xf>
    <xf numFmtId="0" fontId="7" fillId="5" borderId="49" xfId="0" applyFont="1" applyFill="1" applyBorder="1" applyProtection="1"/>
    <xf numFmtId="0" fontId="7" fillId="5" borderId="49" xfId="0" quotePrefix="1" applyFont="1" applyFill="1" applyBorder="1" applyAlignment="1" applyProtection="1">
      <alignment horizontal="left"/>
    </xf>
    <xf numFmtId="0" fontId="7" fillId="5" borderId="50" xfId="0" applyFont="1" applyFill="1" applyBorder="1" applyProtection="1"/>
    <xf numFmtId="3" fontId="0" fillId="5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9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 vertical="center" wrapText="1"/>
    </xf>
    <xf numFmtId="3" fontId="0" fillId="11" borderId="8" xfId="0" applyNumberFormat="1" applyFont="1" applyFill="1" applyBorder="1"/>
    <xf numFmtId="3" fontId="0" fillId="11" borderId="9" xfId="0" applyNumberFormat="1" applyFont="1" applyFill="1" applyBorder="1"/>
    <xf numFmtId="3" fontId="0" fillId="5" borderId="56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0" borderId="42" xfId="0" applyNumberFormat="1" applyBorder="1"/>
    <xf numFmtId="0" fontId="0" fillId="5" borderId="60" xfId="0" applyFont="1" applyFill="1" applyBorder="1" applyAlignment="1">
      <alignment horizontal="center"/>
    </xf>
    <xf numFmtId="0" fontId="0" fillId="5" borderId="59" xfId="0" applyFont="1" applyFill="1" applyBorder="1" applyAlignment="1">
      <alignment horizontal="center" vertical="center" wrapText="1"/>
    </xf>
    <xf numFmtId="3" fontId="0" fillId="11" borderId="37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7" borderId="36" xfId="0" applyNumberFormat="1" applyFont="1" applyFill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9" xfId="0" applyNumberFormat="1" applyFont="1" applyFill="1" applyBorder="1"/>
    <xf numFmtId="0" fontId="1" fillId="5" borderId="0" xfId="0" applyFont="1" applyFill="1"/>
    <xf numFmtId="3" fontId="0" fillId="3" borderId="61" xfId="0" applyNumberFormat="1" applyFont="1" applyFill="1" applyBorder="1" applyProtection="1">
      <protection hidden="1"/>
    </xf>
    <xf numFmtId="3" fontId="1" fillId="12" borderId="10" xfId="0" applyNumberFormat="1" applyFont="1" applyFill="1" applyBorder="1"/>
    <xf numFmtId="3" fontId="1" fillId="5" borderId="10" xfId="0" applyNumberFormat="1" applyFont="1" applyFill="1" applyBorder="1"/>
    <xf numFmtId="3" fontId="1" fillId="11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4" fillId="5" borderId="41" xfId="0" applyNumberFormat="1" applyFont="1" applyFill="1" applyBorder="1"/>
    <xf numFmtId="3" fontId="11" fillId="4" borderId="15" xfId="0" applyNumberFormat="1" applyFont="1" applyFill="1" applyBorder="1"/>
    <xf numFmtId="3" fontId="11" fillId="5" borderId="0" xfId="0" applyNumberFormat="1" applyFont="1" applyFill="1"/>
    <xf numFmtId="4" fontId="0" fillId="0" borderId="0" xfId="0" applyNumberFormat="1" applyFill="1"/>
    <xf numFmtId="3" fontId="1" fillId="3" borderId="31" xfId="0" applyNumberFormat="1" applyFont="1" applyFill="1" applyBorder="1" applyProtection="1">
      <protection hidden="1"/>
    </xf>
    <xf numFmtId="3" fontId="0" fillId="0" borderId="0" xfId="0" applyNumberFormat="1" applyFill="1"/>
    <xf numFmtId="0" fontId="0" fillId="0" borderId="0" xfId="0" applyFill="1"/>
    <xf numFmtId="3" fontId="14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3" fontId="0" fillId="0" borderId="43" xfId="0" applyNumberFormat="1" applyFont="1" applyBorder="1"/>
    <xf numFmtId="0" fontId="5" fillId="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61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64" xfId="0" applyNumberFormat="1" applyFont="1" applyFill="1" applyBorder="1" applyAlignment="1" applyProtection="1">
      <alignment horizontal="center" vertical="center" wrapText="1"/>
    </xf>
    <xf numFmtId="0" fontId="0" fillId="5" borderId="62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0" fillId="5" borderId="37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41" xfId="0" applyNumberFormat="1" applyBorder="1"/>
    <xf numFmtId="3" fontId="0" fillId="0" borderId="43" xfId="0" applyNumberFormat="1" applyBorder="1"/>
    <xf numFmtId="3" fontId="8" fillId="5" borderId="37" xfId="0" applyNumberFormat="1" applyFont="1" applyFill="1" applyBorder="1"/>
    <xf numFmtId="3" fontId="8" fillId="5" borderId="8" xfId="0" applyNumberFormat="1" applyFont="1" applyFill="1" applyBorder="1"/>
    <xf numFmtId="3" fontId="0" fillId="0" borderId="0" xfId="0" applyNumberFormat="1"/>
    <xf numFmtId="9" fontId="2" fillId="2" borderId="66" xfId="0" applyNumberFormat="1" applyFont="1" applyFill="1" applyBorder="1" applyAlignment="1" applyProtection="1">
      <alignment horizontal="center" vertical="center" wrapText="1"/>
    </xf>
    <xf numFmtId="9" fontId="2" fillId="2" borderId="6" xfId="0" applyNumberFormat="1" applyFont="1" applyFill="1" applyBorder="1" applyAlignment="1" applyProtection="1">
      <alignment horizontal="center" vertical="center" wrapText="1"/>
    </xf>
    <xf numFmtId="3" fontId="0" fillId="3" borderId="67" xfId="0" applyNumberFormat="1" applyFont="1" applyFill="1" applyBorder="1" applyProtection="1">
      <protection hidden="1"/>
    </xf>
    <xf numFmtId="3" fontId="0" fillId="3" borderId="68" xfId="0" applyNumberFormat="1" applyFont="1" applyFill="1" applyBorder="1" applyProtection="1">
      <protection hidden="1"/>
    </xf>
    <xf numFmtId="3" fontId="0" fillId="3" borderId="69" xfId="0" applyNumberFormat="1" applyFont="1" applyFill="1" applyBorder="1" applyProtection="1">
      <protection hidden="1"/>
    </xf>
    <xf numFmtId="3" fontId="0" fillId="3" borderId="70" xfId="0" applyNumberFormat="1" applyFont="1" applyFill="1" applyBorder="1" applyProtection="1">
      <protection hidden="1"/>
    </xf>
    <xf numFmtId="3" fontId="11" fillId="3" borderId="21" xfId="0" applyNumberFormat="1" applyFont="1" applyFill="1" applyBorder="1" applyProtection="1">
      <protection hidden="1"/>
    </xf>
    <xf numFmtId="2" fontId="0" fillId="0" borderId="0" xfId="0" applyNumberFormat="1" applyFill="1" applyBorder="1"/>
    <xf numFmtId="3" fontId="0" fillId="0" borderId="0" xfId="0" applyNumberFormat="1" applyFill="1" applyBorder="1"/>
    <xf numFmtId="3" fontId="14" fillId="0" borderId="0" xfId="0" applyNumberFormat="1" applyFont="1" applyFill="1" applyBorder="1"/>
    <xf numFmtId="3" fontId="11" fillId="0" borderId="0" xfId="0" applyNumberFormat="1" applyFont="1" applyFill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3" xfId="0" applyNumberFormat="1" applyBorder="1"/>
    <xf numFmtId="4" fontId="11" fillId="4" borderId="15" xfId="0" applyNumberFormat="1" applyFont="1" applyFill="1" applyBorder="1"/>
    <xf numFmtId="0" fontId="7" fillId="5" borderId="56" xfId="0" quotePrefix="1" applyFont="1" applyFill="1" applyBorder="1" applyAlignment="1" applyProtection="1">
      <alignment horizontal="left"/>
    </xf>
    <xf numFmtId="0" fontId="7" fillId="5" borderId="57" xfId="0" applyFont="1" applyFill="1" applyBorder="1" applyProtection="1"/>
    <xf numFmtId="0" fontId="7" fillId="5" borderId="57" xfId="0" quotePrefix="1" applyFont="1" applyFill="1" applyBorder="1" applyAlignment="1" applyProtection="1">
      <alignment horizontal="left"/>
    </xf>
    <xf numFmtId="0" fontId="7" fillId="5" borderId="58" xfId="0" applyFont="1" applyFill="1" applyBorder="1" applyProtection="1"/>
    <xf numFmtId="0" fontId="9" fillId="6" borderId="59" xfId="0" applyFont="1" applyFill="1" applyBorder="1" applyProtection="1"/>
    <xf numFmtId="3" fontId="8" fillId="0" borderId="48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right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0" fillId="5" borderId="0" xfId="0" applyNumberFormat="1" applyFill="1"/>
    <xf numFmtId="3" fontId="1" fillId="8" borderId="10" xfId="0" applyNumberFormat="1" applyFont="1" applyFill="1" applyBorder="1"/>
    <xf numFmtId="3" fontId="1" fillId="10" borderId="6" xfId="0" applyNumberFormat="1" applyFont="1" applyFill="1" applyBorder="1"/>
    <xf numFmtId="3" fontId="4" fillId="13" borderId="0" xfId="0" applyNumberFormat="1" applyFont="1" applyFill="1" applyAlignment="1">
      <alignment horizontal="right"/>
    </xf>
    <xf numFmtId="3" fontId="1" fillId="13" borderId="6" xfId="0" applyNumberFormat="1" applyFont="1" applyFill="1" applyBorder="1" applyProtection="1">
      <protection hidden="1"/>
    </xf>
    <xf numFmtId="3" fontId="1" fillId="0" borderId="36" xfId="0" applyNumberFormat="1" applyFont="1" applyFill="1" applyBorder="1"/>
    <xf numFmtId="0" fontId="0" fillId="8" borderId="7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 vertical="center" wrapText="1"/>
    </xf>
    <xf numFmtId="3" fontId="0" fillId="8" borderId="37" xfId="0" applyNumberFormat="1" applyFont="1" applyFill="1" applyBorder="1"/>
    <xf numFmtId="3" fontId="0" fillId="8" borderId="8" xfId="0" applyNumberFormat="1" applyFont="1" applyFill="1" applyBorder="1"/>
    <xf numFmtId="3" fontId="0" fillId="8" borderId="9" xfId="0" applyNumberFormat="1" applyFont="1" applyFill="1" applyBorder="1"/>
    <xf numFmtId="3" fontId="1" fillId="0" borderId="0" xfId="0" applyNumberFormat="1" applyFont="1" applyFill="1"/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1" fontId="15" fillId="0" borderId="7" xfId="0" applyNumberFormat="1" applyFont="1" applyFill="1" applyBorder="1" applyAlignment="1" applyProtection="1">
      <alignment horizontal="center" vertical="center" wrapText="1"/>
    </xf>
    <xf numFmtId="3" fontId="0" fillId="3" borderId="31" xfId="0" applyNumberFormat="1" applyFont="1" applyFill="1" applyBorder="1" applyProtection="1">
      <protection hidden="1"/>
    </xf>
    <xf numFmtId="3" fontId="0" fillId="0" borderId="9" xfId="0" applyNumberFormat="1" applyBorder="1"/>
    <xf numFmtId="3" fontId="0" fillId="5" borderId="44" xfId="0" applyNumberFormat="1" applyFont="1" applyFill="1" applyBorder="1"/>
    <xf numFmtId="3" fontId="1" fillId="3" borderId="6" xfId="0" applyNumberFormat="1" applyFont="1" applyFill="1" applyBorder="1" applyProtection="1">
      <protection hidden="1"/>
    </xf>
    <xf numFmtId="0" fontId="0" fillId="11" borderId="60" xfId="0" applyFont="1" applyFill="1" applyBorder="1" applyAlignment="1">
      <alignment horizontal="center"/>
    </xf>
    <xf numFmtId="0" fontId="0" fillId="11" borderId="59" xfId="0" applyFont="1" applyFill="1" applyBorder="1" applyAlignment="1">
      <alignment horizontal="center" vertical="center" wrapText="1"/>
    </xf>
    <xf numFmtId="3" fontId="0" fillId="11" borderId="56" xfId="0" applyNumberFormat="1" applyFont="1" applyFill="1" applyBorder="1"/>
    <xf numFmtId="3" fontId="0" fillId="11" borderId="58" xfId="0" applyNumberFormat="1" applyFont="1" applyFill="1" applyBorder="1"/>
    <xf numFmtId="3" fontId="1" fillId="11" borderId="59" xfId="0" applyNumberFormat="1" applyFont="1" applyFill="1" applyBorder="1"/>
    <xf numFmtId="0" fontId="0" fillId="0" borderId="38" xfId="0" applyBorder="1"/>
    <xf numFmtId="0" fontId="0" fillId="0" borderId="75" xfId="0" applyBorder="1"/>
    <xf numFmtId="0" fontId="0" fillId="0" borderId="75" xfId="0" applyBorder="1" applyAlignment="1">
      <alignment wrapText="1"/>
    </xf>
    <xf numFmtId="3" fontId="0" fillId="0" borderId="75" xfId="0" applyNumberFormat="1" applyBorder="1"/>
    <xf numFmtId="0" fontId="0" fillId="11" borderId="38" xfId="0" applyFont="1" applyFill="1" applyBorder="1" applyAlignment="1">
      <alignment horizontal="center" vertical="center" wrapText="1"/>
    </xf>
    <xf numFmtId="3" fontId="8" fillId="0" borderId="38" xfId="0" applyNumberFormat="1" applyFont="1" applyBorder="1"/>
    <xf numFmtId="3" fontId="16" fillId="0" borderId="75" xfId="0" applyNumberFormat="1" applyFont="1" applyBorder="1"/>
    <xf numFmtId="3" fontId="16" fillId="0" borderId="38" xfId="0" applyNumberFormat="1" applyFont="1" applyBorder="1"/>
    <xf numFmtId="3" fontId="11" fillId="0" borderId="76" xfId="0" applyNumberFormat="1" applyFont="1" applyBorder="1"/>
    <xf numFmtId="3" fontId="11" fillId="0" borderId="39" xfId="0" applyNumberFormat="1" applyFont="1" applyBorder="1"/>
    <xf numFmtId="3" fontId="0" fillId="0" borderId="77" xfId="0" applyNumberFormat="1" applyBorder="1"/>
    <xf numFmtId="3" fontId="0" fillId="8" borderId="7" xfId="0" applyNumberFormat="1" applyFont="1" applyFill="1" applyBorder="1"/>
    <xf numFmtId="3" fontId="0" fillId="8" borderId="44" xfId="0" applyNumberFormat="1" applyFont="1" applyFill="1" applyBorder="1"/>
    <xf numFmtId="0" fontId="0" fillId="14" borderId="51" xfId="0" applyFont="1" applyFill="1" applyBorder="1" applyAlignment="1">
      <alignment horizontal="center" wrapText="1"/>
    </xf>
    <xf numFmtId="0" fontId="0" fillId="14" borderId="52" xfId="0" applyFont="1" applyFill="1" applyBorder="1" applyAlignment="1">
      <alignment horizontal="center" vertical="center" wrapText="1"/>
    </xf>
    <xf numFmtId="3" fontId="0" fillId="14" borderId="39" xfId="0" applyNumberFormat="1" applyFill="1" applyBorder="1"/>
    <xf numFmtId="3" fontId="0" fillId="14" borderId="9" xfId="0" applyNumberFormat="1" applyFill="1" applyBorder="1"/>
    <xf numFmtId="3" fontId="1" fillId="14" borderId="2" xfId="0" applyNumberFormat="1" applyFont="1" applyFill="1" applyBorder="1"/>
    <xf numFmtId="3" fontId="5" fillId="14" borderId="0" xfId="0" applyNumberFormat="1" applyFont="1" applyFill="1" applyAlignment="1">
      <alignment horizontal="right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Protection="1">
      <protection locked="0"/>
    </xf>
    <xf numFmtId="3" fontId="0" fillId="14" borderId="37" xfId="0" applyNumberFormat="1" applyFill="1" applyBorder="1"/>
    <xf numFmtId="0" fontId="11" fillId="0" borderId="0" xfId="0" applyFont="1"/>
    <xf numFmtId="0" fontId="0" fillId="0" borderId="0" xfId="0" applyAlignment="1">
      <alignment horizontal="right"/>
    </xf>
    <xf numFmtId="3" fontId="17" fillId="0" borderId="0" xfId="0" applyNumberFormat="1" applyFont="1"/>
    <xf numFmtId="9" fontId="0" fillId="0" borderId="0" xfId="0" applyNumberFormat="1"/>
    <xf numFmtId="0" fontId="7" fillId="0" borderId="56" xfId="0" quotePrefix="1" applyFont="1" applyBorder="1" applyAlignment="1">
      <alignment horizontal="left"/>
    </xf>
    <xf numFmtId="3" fontId="0" fillId="0" borderId="48" xfId="0" applyNumberFormat="1" applyBorder="1"/>
    <xf numFmtId="4" fontId="0" fillId="0" borderId="48" xfId="0" applyNumberFormat="1" applyBorder="1"/>
    <xf numFmtId="3" fontId="0" fillId="0" borderId="37" xfId="0" applyNumberFormat="1" applyBorder="1"/>
    <xf numFmtId="3" fontId="0" fillId="0" borderId="82" xfId="0" applyNumberFormat="1" applyBorder="1"/>
    <xf numFmtId="0" fontId="7" fillId="0" borderId="57" xfId="0" applyFont="1" applyBorder="1"/>
    <xf numFmtId="3" fontId="0" fillId="0" borderId="49" xfId="0" applyNumberFormat="1" applyBorder="1"/>
    <xf numFmtId="0" fontId="7" fillId="0" borderId="57" xfId="0" quotePrefix="1" applyFont="1" applyBorder="1" applyAlignment="1">
      <alignment horizontal="left"/>
    </xf>
    <xf numFmtId="0" fontId="7" fillId="0" borderId="58" xfId="0" applyFont="1" applyBorder="1"/>
    <xf numFmtId="3" fontId="0" fillId="0" borderId="50" xfId="0" applyNumberFormat="1" applyBorder="1"/>
    <xf numFmtId="4" fontId="0" fillId="0" borderId="50" xfId="0" applyNumberFormat="1" applyBorder="1"/>
    <xf numFmtId="3" fontId="0" fillId="0" borderId="83" xfId="0" applyNumberFormat="1" applyBorder="1"/>
    <xf numFmtId="3" fontId="0" fillId="0" borderId="76" xfId="0" applyNumberFormat="1" applyBorder="1"/>
    <xf numFmtId="0" fontId="1" fillId="15" borderId="62" xfId="0" applyFont="1" applyFill="1" applyBorder="1" applyAlignment="1">
      <alignment horizontal="center" vertical="center"/>
    </xf>
    <xf numFmtId="0" fontId="18" fillId="15" borderId="65" xfId="0" applyFont="1" applyFill="1" applyBorder="1" applyAlignment="1">
      <alignment horizontal="center" vertical="center" wrapText="1"/>
    </xf>
    <xf numFmtId="0" fontId="18" fillId="15" borderId="80" xfId="0" applyFont="1" applyFill="1" applyBorder="1" applyAlignment="1">
      <alignment horizontal="center" vertical="center" wrapText="1"/>
    </xf>
    <xf numFmtId="0" fontId="18" fillId="15" borderId="81" xfId="0" applyFont="1" applyFill="1" applyBorder="1" applyAlignment="1">
      <alignment horizontal="center" vertical="center" wrapText="1"/>
    </xf>
    <xf numFmtId="9" fontId="18" fillId="15" borderId="65" xfId="0" applyNumberFormat="1" applyFont="1" applyFill="1" applyBorder="1" applyAlignment="1">
      <alignment horizontal="center" vertical="center" wrapText="1"/>
    </xf>
    <xf numFmtId="9" fontId="18" fillId="15" borderId="78" xfId="0" applyNumberFormat="1" applyFont="1" applyFill="1" applyBorder="1" applyAlignment="1">
      <alignment horizontal="center" vertical="center" wrapText="1"/>
    </xf>
    <xf numFmtId="9" fontId="18" fillId="15" borderId="79" xfId="0" applyNumberFormat="1" applyFont="1" applyFill="1" applyBorder="1" applyAlignment="1">
      <alignment horizontal="center" vertical="center" wrapText="1"/>
    </xf>
    <xf numFmtId="0" fontId="18" fillId="15" borderId="66" xfId="0" applyFont="1" applyFill="1" applyBorder="1" applyAlignment="1">
      <alignment horizontal="center" vertical="center" wrapText="1"/>
    </xf>
    <xf numFmtId="9" fontId="18" fillId="15" borderId="66" xfId="0" applyNumberFormat="1" applyFont="1" applyFill="1" applyBorder="1" applyAlignment="1">
      <alignment horizontal="center" vertical="center" wrapText="1"/>
    </xf>
    <xf numFmtId="0" fontId="9" fillId="15" borderId="59" xfId="0" applyFont="1" applyFill="1" applyBorder="1" applyAlignment="1">
      <alignment horizontal="left"/>
    </xf>
    <xf numFmtId="3" fontId="11" fillId="15" borderId="1" xfId="0" applyNumberFormat="1" applyFont="1" applyFill="1" applyBorder="1"/>
    <xf numFmtId="4" fontId="11" fillId="15" borderId="2" xfId="0" applyNumberFormat="1" applyFont="1" applyFill="1" applyBorder="1"/>
    <xf numFmtId="3" fontId="11" fillId="15" borderId="26" xfId="0" applyNumberFormat="1" applyFont="1" applyFill="1" applyBorder="1"/>
    <xf numFmtId="4" fontId="11" fillId="15" borderId="1" xfId="0" applyNumberFormat="1" applyFont="1" applyFill="1" applyBorder="1"/>
    <xf numFmtId="4" fontId="11" fillId="15" borderId="15" xfId="0" applyNumberFormat="1" applyFont="1" applyFill="1" applyBorder="1"/>
    <xf numFmtId="3" fontId="11" fillId="15" borderId="10" xfId="0" applyNumberFormat="1" applyFont="1" applyFill="1" applyBorder="1"/>
    <xf numFmtId="3" fontId="11" fillId="15" borderId="23" xfId="0" applyNumberFormat="1" applyFont="1" applyFill="1" applyBorder="1"/>
    <xf numFmtId="0" fontId="19" fillId="5" borderId="0" xfId="0" applyFont="1" applyFill="1" applyAlignment="1"/>
    <xf numFmtId="0" fontId="11" fillId="0" borderId="0" xfId="0" applyFont="1" applyAlignment="1"/>
    <xf numFmtId="0" fontId="20" fillId="0" borderId="0" xfId="0" applyFont="1" applyAlignment="1">
      <alignment horizontal="center"/>
    </xf>
    <xf numFmtId="0" fontId="8" fillId="5" borderId="0" xfId="0" applyFont="1" applyFill="1"/>
    <xf numFmtId="0" fontId="21" fillId="5" borderId="0" xfId="0" applyFont="1" applyFill="1"/>
    <xf numFmtId="0" fontId="22" fillId="5" borderId="0" xfId="0" applyFont="1" applyFill="1" applyAlignment="1">
      <alignment horizontal="right"/>
    </xf>
    <xf numFmtId="0" fontId="14" fillId="5" borderId="0" xfId="0" applyFont="1" applyFill="1"/>
    <xf numFmtId="0" fontId="23" fillId="5" borderId="0" xfId="0" applyFont="1" applyFill="1"/>
    <xf numFmtId="0" fontId="21" fillId="5" borderId="0" xfId="0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21" fillId="0" borderId="0" xfId="0" applyFont="1" applyAlignment="1">
      <alignment horizontal="right"/>
    </xf>
    <xf numFmtId="0" fontId="28" fillId="5" borderId="0" xfId="0" applyFont="1" applyFill="1" applyBorder="1" applyProtection="1"/>
    <xf numFmtId="3" fontId="11" fillId="0" borderId="0" xfId="0" applyNumberFormat="1" applyFont="1"/>
    <xf numFmtId="4" fontId="11" fillId="0" borderId="0" xfId="0" applyNumberFormat="1" applyFont="1"/>
    <xf numFmtId="164" fontId="4" fillId="5" borderId="0" xfId="0" applyNumberFormat="1" applyFont="1" applyFill="1" applyAlignment="1">
      <alignment horizontal="center"/>
    </xf>
    <xf numFmtId="0" fontId="29" fillId="0" borderId="0" xfId="0" applyFont="1"/>
    <xf numFmtId="165" fontId="0" fillId="0" borderId="39" xfId="0" applyNumberFormat="1" applyFont="1" applyFill="1" applyBorder="1" applyProtection="1">
      <protection locked="0"/>
    </xf>
    <xf numFmtId="4" fontId="8" fillId="0" borderId="39" xfId="0" applyNumberFormat="1" applyFont="1" applyFill="1" applyBorder="1" applyProtection="1">
      <protection locked="0"/>
    </xf>
    <xf numFmtId="3" fontId="0" fillId="0" borderId="40" xfId="0" applyNumberFormat="1" applyBorder="1"/>
    <xf numFmtId="165" fontId="0" fillId="0" borderId="38" xfId="0" applyNumberFormat="1" applyFont="1" applyFill="1" applyBorder="1" applyProtection="1">
      <protection locked="0"/>
    </xf>
    <xf numFmtId="4" fontId="8" fillId="0" borderId="38" xfId="0" applyNumberFormat="1" applyFont="1" applyFill="1" applyBorder="1" applyProtection="1">
      <protection locked="0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4" fontId="31" fillId="0" borderId="0" xfId="0" applyNumberFormat="1" applyFont="1" applyBorder="1" applyAlignment="1">
      <alignment horizontal="right" vertical="center"/>
    </xf>
    <xf numFmtId="0" fontId="7" fillId="5" borderId="89" xfId="0" applyFont="1" applyFill="1" applyBorder="1" applyProtection="1"/>
    <xf numFmtId="3" fontId="8" fillId="0" borderId="90" xfId="0" applyNumberFormat="1" applyFont="1" applyFill="1" applyBorder="1" applyProtection="1">
      <protection locked="0"/>
    </xf>
    <xf numFmtId="165" fontId="0" fillId="0" borderId="91" xfId="0" applyNumberFormat="1" applyFont="1" applyFill="1" applyBorder="1" applyProtection="1">
      <protection locked="0"/>
    </xf>
    <xf numFmtId="4" fontId="8" fillId="0" borderId="91" xfId="0" applyNumberFormat="1" applyFont="1" applyFill="1" applyBorder="1" applyProtection="1">
      <protection locked="0"/>
    </xf>
    <xf numFmtId="3" fontId="0" fillId="0" borderId="91" xfId="0" applyNumberFormat="1" applyFont="1" applyFill="1" applyBorder="1" applyProtection="1">
      <protection locked="0"/>
    </xf>
    <xf numFmtId="3" fontId="0" fillId="0" borderId="92" xfId="0" applyNumberFormat="1" applyBorder="1"/>
    <xf numFmtId="0" fontId="9" fillId="6" borderId="62" xfId="0" applyFont="1" applyFill="1" applyBorder="1" applyProtection="1"/>
    <xf numFmtId="3" fontId="1" fillId="4" borderId="65" xfId="0" applyNumberFormat="1" applyFont="1" applyFill="1" applyBorder="1" applyProtection="1"/>
    <xf numFmtId="165" fontId="1" fillId="4" borderId="93" xfId="0" applyNumberFormat="1" applyFont="1" applyFill="1" applyBorder="1" applyProtection="1"/>
    <xf numFmtId="4" fontId="1" fillId="4" borderId="78" xfId="0" applyNumberFormat="1" applyFont="1" applyFill="1" applyBorder="1" applyProtection="1">
      <protection hidden="1"/>
    </xf>
    <xf numFmtId="3" fontId="11" fillId="4" borderId="79" xfId="0" applyNumberFormat="1" applyFont="1" applyFill="1" applyBorder="1"/>
    <xf numFmtId="0" fontId="7" fillId="0" borderId="0" xfId="0" applyFont="1" applyFill="1" applyBorder="1" applyProtection="1"/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14" fillId="0" borderId="0" xfId="0" applyFont="1"/>
    <xf numFmtId="3" fontId="11" fillId="0" borderId="0" xfId="0" applyNumberFormat="1" applyFont="1" applyBorder="1"/>
    <xf numFmtId="4" fontId="30" fillId="0" borderId="0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11" fillId="15" borderId="55" xfId="0" applyFont="1" applyFill="1" applyBorder="1" applyAlignment="1">
      <alignment horizontal="center"/>
    </xf>
    <xf numFmtId="0" fontId="11" fillId="15" borderId="51" xfId="0" applyFont="1" applyFill="1" applyBorder="1" applyAlignment="1">
      <alignment horizontal="center"/>
    </xf>
    <xf numFmtId="0" fontId="11" fillId="15" borderId="94" xfId="0" applyFont="1" applyFill="1" applyBorder="1" applyAlignment="1">
      <alignment horizontal="center"/>
    </xf>
    <xf numFmtId="0" fontId="0" fillId="0" borderId="49" xfId="0" applyFont="1" applyFill="1" applyBorder="1"/>
    <xf numFmtId="3" fontId="0" fillId="0" borderId="38" xfId="0" applyNumberFormat="1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49" xfId="0" applyBorder="1"/>
    <xf numFmtId="0" fontId="0" fillId="0" borderId="41" xfId="0" applyBorder="1" applyAlignment="1">
      <alignment horizontal="center"/>
    </xf>
    <xf numFmtId="0" fontId="0" fillId="0" borderId="90" xfId="0" applyBorder="1" applyAlignment="1">
      <alignment vertical="center"/>
    </xf>
    <xf numFmtId="0" fontId="33" fillId="15" borderId="65" xfId="0" applyFont="1" applyFill="1" applyBorder="1"/>
    <xf numFmtId="3" fontId="33" fillId="15" borderId="78" xfId="0" applyNumberFormat="1" applyFont="1" applyFill="1" applyBorder="1"/>
    <xf numFmtId="0" fontId="33" fillId="15" borderId="79" xfId="0" applyFont="1" applyFill="1" applyBorder="1" applyAlignment="1">
      <alignment horizontal="center"/>
    </xf>
    <xf numFmtId="0" fontId="33" fillId="0" borderId="0" xfId="0" applyFont="1"/>
    <xf numFmtId="0" fontId="34" fillId="5" borderId="0" xfId="0" applyFont="1" applyFill="1"/>
    <xf numFmtId="0" fontId="21" fillId="0" borderId="0" xfId="0" applyFont="1" applyFill="1"/>
    <xf numFmtId="9" fontId="24" fillId="16" borderId="12" xfId="0" applyNumberFormat="1" applyFont="1" applyFill="1" applyBorder="1" applyAlignment="1" applyProtection="1">
      <alignment horizontal="center" vertical="center" wrapText="1"/>
    </xf>
    <xf numFmtId="9" fontId="24" fillId="16" borderId="11" xfId="0" applyNumberFormat="1" applyFont="1" applyFill="1" applyBorder="1" applyAlignment="1" applyProtection="1">
      <alignment horizontal="center" vertical="center" wrapText="1"/>
    </xf>
    <xf numFmtId="9" fontId="24" fillId="16" borderId="78" xfId="0" applyNumberFormat="1" applyFont="1" applyFill="1" applyBorder="1" applyAlignment="1" applyProtection="1">
      <alignment horizontal="center" vertical="center" wrapText="1"/>
    </xf>
    <xf numFmtId="9" fontId="24" fillId="16" borderId="63" xfId="0" applyNumberFormat="1" applyFont="1" applyFill="1" applyBorder="1" applyAlignment="1" applyProtection="1">
      <alignment horizontal="center" vertical="center" wrapText="1"/>
    </xf>
    <xf numFmtId="0" fontId="25" fillId="15" borderId="51" xfId="0" applyFont="1" applyFill="1" applyBorder="1" applyAlignment="1">
      <alignment horizontal="center" wrapText="1"/>
    </xf>
    <xf numFmtId="9" fontId="24" fillId="15" borderId="30" xfId="0" applyNumberFormat="1" applyFont="1" applyFill="1" applyBorder="1" applyAlignment="1" applyProtection="1">
      <alignment horizontal="center" vertical="center" wrapText="1"/>
    </xf>
    <xf numFmtId="1" fontId="26" fillId="15" borderId="54" xfId="0" applyNumberFormat="1" applyFont="1" applyFill="1" applyBorder="1" applyAlignment="1" applyProtection="1">
      <alignment horizontal="center" vertical="center" wrapText="1"/>
    </xf>
    <xf numFmtId="0" fontId="25" fillId="15" borderId="7" xfId="0" applyFont="1" applyFill="1" applyBorder="1" applyAlignment="1">
      <alignment horizontal="center"/>
    </xf>
    <xf numFmtId="0" fontId="25" fillId="15" borderId="3" xfId="0" applyFont="1" applyFill="1" applyBorder="1" applyAlignment="1">
      <alignment horizontal="center"/>
    </xf>
    <xf numFmtId="0" fontId="20" fillId="15" borderId="52" xfId="0" applyFont="1" applyFill="1" applyBorder="1" applyAlignment="1">
      <alignment horizontal="center" vertical="center" wrapText="1"/>
    </xf>
    <xf numFmtId="9" fontId="24" fillId="15" borderId="2" xfId="0" applyNumberFormat="1" applyFont="1" applyFill="1" applyBorder="1" applyAlignment="1" applyProtection="1">
      <alignment horizontal="center" vertical="center" wrapText="1"/>
    </xf>
    <xf numFmtId="9" fontId="24" fillId="15" borderId="6" xfId="0" applyNumberFormat="1" applyFont="1" applyFill="1" applyBorder="1" applyAlignment="1" applyProtection="1">
      <alignment horizontal="center" vertical="center" wrapText="1"/>
    </xf>
    <xf numFmtId="0" fontId="20" fillId="15" borderId="10" xfId="0" applyFont="1" applyFill="1" applyBorder="1" applyAlignment="1">
      <alignment horizontal="center" vertical="center" wrapText="1"/>
    </xf>
    <xf numFmtId="0" fontId="20" fillId="15" borderId="22" xfId="0" applyFont="1" applyFill="1" applyBorder="1" applyAlignment="1">
      <alignment horizontal="center" vertical="center" wrapText="1"/>
    </xf>
    <xf numFmtId="3" fontId="1" fillId="4" borderId="81" xfId="0" applyNumberFormat="1" applyFont="1" applyFill="1" applyBorder="1" applyProtection="1">
      <protection hidden="1"/>
    </xf>
    <xf numFmtId="1" fontId="0" fillId="0" borderId="0" xfId="0" applyNumberFormat="1"/>
    <xf numFmtId="3" fontId="0" fillId="0" borderId="8" xfId="0" applyNumberFormat="1" applyFont="1" applyFill="1" applyBorder="1"/>
    <xf numFmtId="3" fontId="0" fillId="0" borderId="55" xfId="0" applyNumberFormat="1" applyFont="1" applyFill="1" applyBorder="1" applyProtection="1">
      <protection hidden="1"/>
    </xf>
    <xf numFmtId="3" fontId="0" fillId="0" borderId="84" xfId="0" applyNumberFormat="1" applyFont="1" applyFill="1" applyBorder="1" applyProtection="1">
      <protection hidden="1"/>
    </xf>
    <xf numFmtId="3" fontId="0" fillId="0" borderId="51" xfId="0" applyNumberFormat="1" applyFont="1" applyFill="1" applyBorder="1" applyProtection="1">
      <protection hidden="1"/>
    </xf>
    <xf numFmtId="3" fontId="0" fillId="0" borderId="3" xfId="0" applyNumberFormat="1" applyFont="1" applyFill="1" applyBorder="1" applyProtection="1">
      <protection hidden="1"/>
    </xf>
    <xf numFmtId="3" fontId="0" fillId="0" borderId="7" xfId="0" applyNumberFormat="1" applyFont="1" applyFill="1" applyBorder="1"/>
    <xf numFmtId="3" fontId="0" fillId="14" borderId="7" xfId="0" applyNumberFormat="1" applyFont="1" applyFill="1" applyBorder="1"/>
    <xf numFmtId="3" fontId="0" fillId="0" borderId="49" xfId="0" applyNumberFormat="1" applyFont="1" applyFill="1" applyBorder="1" applyProtection="1">
      <protection hidden="1"/>
    </xf>
    <xf numFmtId="3" fontId="0" fillId="0" borderId="75" xfId="0" applyNumberFormat="1" applyFont="1" applyFill="1" applyBorder="1" applyProtection="1">
      <protection hidden="1"/>
    </xf>
    <xf numFmtId="3" fontId="0" fillId="0" borderId="38" xfId="0" applyNumberFormat="1" applyFont="1" applyFill="1" applyBorder="1" applyProtection="1">
      <protection hidden="1"/>
    </xf>
    <xf numFmtId="3" fontId="0" fillId="0" borderId="4" xfId="0" applyNumberFormat="1" applyFont="1" applyFill="1" applyBorder="1" applyProtection="1">
      <protection hidden="1"/>
    </xf>
    <xf numFmtId="3" fontId="0" fillId="0" borderId="37" xfId="0" applyNumberFormat="1" applyFont="1" applyFill="1" applyBorder="1"/>
    <xf numFmtId="3" fontId="0" fillId="14" borderId="37" xfId="0" applyNumberFormat="1" applyFont="1" applyFill="1" applyBorder="1"/>
    <xf numFmtId="3" fontId="0" fillId="0" borderId="41" xfId="0" applyNumberFormat="1" applyFont="1" applyFill="1" applyBorder="1" applyProtection="1">
      <protection hidden="1"/>
    </xf>
    <xf numFmtId="3" fontId="0" fillId="0" borderId="48" xfId="0" applyNumberFormat="1" applyFont="1" applyFill="1" applyBorder="1" applyProtection="1">
      <protection hidden="1"/>
    </xf>
    <xf numFmtId="3" fontId="0" fillId="0" borderId="76" xfId="0" applyNumberFormat="1" applyFont="1" applyFill="1" applyBorder="1" applyProtection="1">
      <protection hidden="1"/>
    </xf>
    <xf numFmtId="3" fontId="0" fillId="0" borderId="39" xfId="0" applyNumberFormat="1" applyFont="1" applyFill="1" applyBorder="1" applyProtection="1">
      <protection hidden="1"/>
    </xf>
    <xf numFmtId="3" fontId="8" fillId="0" borderId="8" xfId="0" applyNumberFormat="1" applyFont="1" applyFill="1" applyBorder="1"/>
    <xf numFmtId="3" fontId="0" fillId="0" borderId="54" xfId="0" applyNumberFormat="1" applyFont="1" applyFill="1" applyBorder="1" applyProtection="1">
      <protection hidden="1"/>
    </xf>
    <xf numFmtId="3" fontId="0" fillId="0" borderId="9" xfId="0" applyNumberFormat="1" applyFont="1" applyFill="1" applyBorder="1"/>
    <xf numFmtId="3" fontId="0" fillId="0" borderId="50" xfId="0" applyNumberFormat="1" applyFont="1" applyFill="1" applyBorder="1" applyProtection="1">
      <protection hidden="1"/>
    </xf>
    <xf numFmtId="3" fontId="0" fillId="0" borderId="77" xfId="0" applyNumberFormat="1" applyFont="1" applyFill="1" applyBorder="1" applyProtection="1">
      <protection hidden="1"/>
    </xf>
    <xf numFmtId="3" fontId="0" fillId="0" borderId="42" xfId="0" applyNumberFormat="1" applyFont="1" applyFill="1" applyBorder="1" applyProtection="1">
      <protection hidden="1"/>
    </xf>
    <xf numFmtId="3" fontId="0" fillId="0" borderId="71" xfId="0" applyNumberFormat="1" applyFont="1" applyFill="1" applyBorder="1" applyProtection="1">
      <protection hidden="1"/>
    </xf>
    <xf numFmtId="3" fontId="0" fillId="0" borderId="44" xfId="0" applyNumberFormat="1" applyFont="1" applyFill="1" applyBorder="1"/>
    <xf numFmtId="3" fontId="0" fillId="0" borderId="47" xfId="0" applyNumberFormat="1" applyFont="1" applyBorder="1"/>
    <xf numFmtId="3" fontId="0" fillId="14" borderId="44" xfId="0" applyNumberFormat="1" applyFont="1" applyFill="1" applyBorder="1"/>
    <xf numFmtId="3" fontId="1" fillId="0" borderId="85" xfId="0" applyNumberFormat="1" applyFont="1" applyFill="1" applyBorder="1"/>
    <xf numFmtId="3" fontId="11" fillId="0" borderId="86" xfId="0" applyNumberFormat="1" applyFont="1" applyFill="1" applyBorder="1" applyProtection="1">
      <protection hidden="1"/>
    </xf>
    <xf numFmtId="3" fontId="11" fillId="0" borderId="87" xfId="0" applyNumberFormat="1" applyFont="1" applyFill="1" applyBorder="1" applyProtection="1">
      <protection hidden="1"/>
    </xf>
    <xf numFmtId="3" fontId="11" fillId="0" borderId="88" xfId="0" applyNumberFormat="1" applyFont="1" applyFill="1" applyBorder="1" applyProtection="1">
      <protection hidden="1"/>
    </xf>
    <xf numFmtId="3" fontId="1" fillId="0" borderId="6" xfId="0" applyNumberFormat="1" applyFont="1" applyFill="1" applyBorder="1" applyProtection="1">
      <protection hidden="1"/>
    </xf>
    <xf numFmtId="3" fontId="1" fillId="0" borderId="10" xfId="0" applyNumberFormat="1" applyFont="1" applyFill="1" applyBorder="1"/>
    <xf numFmtId="3" fontId="1" fillId="14" borderId="10" xfId="0" applyNumberFormat="1" applyFont="1" applyFill="1" applyBorder="1"/>
    <xf numFmtId="0" fontId="35" fillId="5" borderId="37" xfId="0" quotePrefix="1" applyFont="1" applyFill="1" applyBorder="1" applyAlignment="1" applyProtection="1">
      <alignment horizontal="left"/>
    </xf>
    <xf numFmtId="0" fontId="35" fillId="5" borderId="8" xfId="0" applyFont="1" applyFill="1" applyBorder="1" applyProtection="1"/>
    <xf numFmtId="0" fontId="35" fillId="5" borderId="8" xfId="0" quotePrefix="1" applyFont="1" applyFill="1" applyBorder="1" applyAlignment="1" applyProtection="1">
      <alignment horizontal="left"/>
    </xf>
    <xf numFmtId="0" fontId="35" fillId="5" borderId="9" xfId="0" applyFont="1" applyFill="1" applyBorder="1" applyProtection="1"/>
    <xf numFmtId="0" fontId="36" fillId="0" borderId="10" xfId="0" applyFont="1" applyBorder="1"/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6" fillId="9" borderId="13" xfId="0" applyFont="1" applyFill="1" applyBorder="1" applyAlignment="1" applyProtection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9" borderId="72" xfId="0" applyFont="1" applyFill="1" applyBorder="1" applyAlignment="1" applyProtection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 wrapText="1"/>
    </xf>
    <xf numFmtId="0" fontId="27" fillId="5" borderId="0" xfId="0" applyFont="1" applyFill="1" applyAlignment="1">
      <alignment horizontal="right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10" xfId="0" applyFont="1" applyFill="1" applyBorder="1" applyAlignment="1">
      <alignment horizontal="center" vertical="center" wrapText="1"/>
    </xf>
    <xf numFmtId="9" fontId="24" fillId="15" borderId="12" xfId="0" applyNumberFormat="1" applyFont="1" applyFill="1" applyBorder="1" applyAlignment="1" applyProtection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9" fontId="24" fillId="15" borderId="11" xfId="0" applyNumberFormat="1" applyFont="1" applyFill="1" applyBorder="1" applyAlignment="1" applyProtection="1">
      <alignment horizontal="center"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9"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style="7" customWidth="1"/>
    <col min="11" max="11" width="12" customWidth="1"/>
    <col min="12" max="12" width="11.42578125" customWidth="1"/>
    <col min="13" max="13" width="10.42578125" bestFit="1" customWidth="1"/>
    <col min="15" max="15" width="9.7109375" bestFit="1" customWidth="1"/>
    <col min="16" max="16" width="10.42578125" bestFit="1" customWidth="1"/>
    <col min="17" max="17" width="10.28515625" customWidth="1"/>
    <col min="18" max="18" width="10.5703125" style="7" customWidth="1"/>
    <col min="19" max="19" width="10.28515625" style="7" customWidth="1"/>
    <col min="20" max="20" width="11.140625" style="7" customWidth="1"/>
    <col min="21" max="23" width="9.140625" style="7"/>
    <col min="24" max="24" width="10.140625" style="7" customWidth="1"/>
    <col min="25" max="32" width="9.140625" style="7"/>
  </cols>
  <sheetData>
    <row r="1" spans="1:26" s="7" customFormat="1" ht="21" x14ac:dyDescent="0.35">
      <c r="A1" s="72" t="s">
        <v>28</v>
      </c>
      <c r="I1" s="121" t="s">
        <v>55</v>
      </c>
      <c r="J1" s="122"/>
      <c r="K1" s="123">
        <v>2017</v>
      </c>
      <c r="L1" s="124"/>
      <c r="M1" s="125"/>
    </row>
    <row r="2" spans="1:26" s="7" customFormat="1" ht="18.75" x14ac:dyDescent="0.3">
      <c r="A2" s="7" t="s">
        <v>56</v>
      </c>
      <c r="J2" s="14"/>
      <c r="K2" s="31">
        <f>(K3+K4+K5)+1</f>
        <v>855108.258378</v>
      </c>
      <c r="L2" s="126"/>
      <c r="M2" s="126"/>
      <c r="O2" s="74"/>
    </row>
    <row r="3" spans="1:26" s="7" customFormat="1" ht="18.75" x14ac:dyDescent="0.3">
      <c r="I3" s="20" t="s">
        <v>29</v>
      </c>
      <c r="J3" s="14"/>
      <c r="K3" s="30">
        <f>B33</f>
        <v>116770.89867800001</v>
      </c>
      <c r="L3" s="126"/>
      <c r="M3" s="74"/>
    </row>
    <row r="4" spans="1:26" s="7" customFormat="1" ht="15.75" x14ac:dyDescent="0.25">
      <c r="I4" s="20" t="s">
        <v>30</v>
      </c>
      <c r="K4" s="33">
        <f>C33</f>
        <v>262758.60000000003</v>
      </c>
      <c r="L4" s="126"/>
      <c r="M4" s="74"/>
    </row>
    <row r="5" spans="1:26" s="7" customFormat="1" ht="15.75" x14ac:dyDescent="0.25">
      <c r="I5" s="7" t="s">
        <v>37</v>
      </c>
      <c r="K5" s="93">
        <f>458919*1.0363</f>
        <v>475577.7597</v>
      </c>
      <c r="L5" s="74"/>
    </row>
    <row r="6" spans="1:26" s="7" customFormat="1" ht="16.5" thickBot="1" x14ac:dyDescent="0.3">
      <c r="K6" s="19"/>
    </row>
    <row r="7" spans="1:26" s="7" customFormat="1" ht="15.75" customHeight="1" thickBot="1" x14ac:dyDescent="0.3">
      <c r="A7" s="8"/>
      <c r="B7" s="8"/>
      <c r="C7" s="8"/>
      <c r="D7" s="8"/>
      <c r="E7" s="22">
        <v>0.55000000000000004</v>
      </c>
      <c r="F7" s="15">
        <v>0.15</v>
      </c>
      <c r="G7" s="21">
        <v>0.3</v>
      </c>
      <c r="H7" s="384" t="s">
        <v>43</v>
      </c>
      <c r="I7" s="13"/>
      <c r="J7" s="8"/>
      <c r="K7" s="8"/>
      <c r="M7" s="73" t="s">
        <v>47</v>
      </c>
    </row>
    <row r="8" spans="1:26" s="7" customFormat="1" ht="15" customHeight="1" x14ac:dyDescent="0.25">
      <c r="A8" s="390" t="s">
        <v>31</v>
      </c>
      <c r="B8" s="79">
        <v>1</v>
      </c>
      <c r="C8" s="69">
        <v>2</v>
      </c>
      <c r="D8" s="16">
        <v>3</v>
      </c>
      <c r="E8" s="397" t="s">
        <v>38</v>
      </c>
      <c r="F8" s="399" t="s">
        <v>39</v>
      </c>
      <c r="G8" s="384" t="s">
        <v>40</v>
      </c>
      <c r="H8" s="385"/>
      <c r="I8" s="9">
        <v>4</v>
      </c>
      <c r="J8" s="16">
        <v>5</v>
      </c>
      <c r="K8" s="9">
        <v>6</v>
      </c>
      <c r="L8" s="90">
        <v>7</v>
      </c>
      <c r="M8" s="82">
        <v>8</v>
      </c>
    </row>
    <row r="9" spans="1:26" s="7" customFormat="1" ht="45.75" thickBot="1" x14ac:dyDescent="0.3">
      <c r="A9" s="391"/>
      <c r="B9" s="80" t="s">
        <v>26</v>
      </c>
      <c r="C9" s="70" t="s">
        <v>27</v>
      </c>
      <c r="D9" s="81" t="s">
        <v>24</v>
      </c>
      <c r="E9" s="398"/>
      <c r="F9" s="400"/>
      <c r="G9" s="386"/>
      <c r="H9" s="386"/>
      <c r="I9" s="18" t="s">
        <v>25</v>
      </c>
      <c r="J9" s="17" t="s">
        <v>54</v>
      </c>
      <c r="K9" s="71" t="s">
        <v>48</v>
      </c>
      <c r="L9" s="91" t="s">
        <v>51</v>
      </c>
      <c r="M9" s="83" t="s">
        <v>52</v>
      </c>
    </row>
    <row r="10" spans="1:26" s="7" customFormat="1" ht="15.75" customHeight="1" x14ac:dyDescent="0.25">
      <c r="A10" s="39" t="s">
        <v>19</v>
      </c>
      <c r="B10" s="77">
        <f t="shared" ref="B10:B32" si="0">H43/1000</f>
        <v>18010.207491500001</v>
      </c>
      <c r="C10" s="75">
        <f>E43*E37</f>
        <v>41065.65</v>
      </c>
      <c r="D10" s="78">
        <f>SUM(B10:C10)</f>
        <v>59075.857491500006</v>
      </c>
      <c r="E10" s="23">
        <f>(K5*E7/B66)*B43</f>
        <v>33515.012837806229</v>
      </c>
      <c r="F10" s="1">
        <f>(K5*F7/C66)*C43</f>
        <v>4408.800965150539</v>
      </c>
      <c r="G10" s="24">
        <f>(K5*G7/D66)*D43</f>
        <v>21227.450871120396</v>
      </c>
      <c r="H10" s="28">
        <f>SUM(E10:G10)</f>
        <v>59151.264674077167</v>
      </c>
      <c r="I10" s="10">
        <f t="shared" ref="I10:I32" si="1">D10+H10</f>
        <v>118227.12216557717</v>
      </c>
      <c r="J10" s="3">
        <v>107906.9531152987</v>
      </c>
      <c r="K10" s="94">
        <f>SUM(I10-J10)</f>
        <v>10320.169050278462</v>
      </c>
      <c r="L10" s="86"/>
      <c r="M10" s="92">
        <f>I10+L10-B10</f>
        <v>100216.91467407717</v>
      </c>
      <c r="N10" s="115"/>
      <c r="O10" s="116"/>
      <c r="P10" s="116"/>
      <c r="Q10" s="113"/>
      <c r="R10" s="113"/>
      <c r="S10" s="113"/>
      <c r="T10" s="113"/>
      <c r="U10" s="115"/>
      <c r="V10" s="115"/>
      <c r="W10" s="115"/>
      <c r="X10" s="115"/>
      <c r="Y10" s="116"/>
      <c r="Z10" s="116"/>
    </row>
    <row r="11" spans="1:26" s="7" customFormat="1" x14ac:dyDescent="0.25">
      <c r="A11" s="37" t="s">
        <v>14</v>
      </c>
      <c r="B11" s="34">
        <f t="shared" si="0"/>
        <v>12202.6041427</v>
      </c>
      <c r="C11" s="76">
        <f>(E44*E37)</f>
        <v>14714.550000000001</v>
      </c>
      <c r="D11" s="78">
        <f t="shared" ref="D11:D32" si="2">SUM(B11:C11)</f>
        <v>26917.154142700001</v>
      </c>
      <c r="E11" s="25">
        <f>(K5*E7/B66)*B44</f>
        <v>18717.35658014927</v>
      </c>
      <c r="F11" s="2">
        <f>(K5*F7/C66)*C44</f>
        <v>13899.044734545581</v>
      </c>
      <c r="G11" s="26">
        <f>(K5*G7/D66)*D44</f>
        <v>16790.492326068572</v>
      </c>
      <c r="H11" s="28">
        <f t="shared" ref="H11:H28" si="3">SUM(E11:G11)</f>
        <v>49406.893640763417</v>
      </c>
      <c r="I11" s="11">
        <f t="shared" si="1"/>
        <v>76324.047783463422</v>
      </c>
      <c r="J11" s="4">
        <v>71618.025734109833</v>
      </c>
      <c r="K11" s="11">
        <f t="shared" ref="K11:K32" si="4">SUM(I11-J11)</f>
        <v>4706.022049353589</v>
      </c>
      <c r="L11" s="87"/>
      <c r="M11" s="84">
        <f t="shared" ref="M11:M32" si="5">I11+L11-B11</f>
        <v>64121.44364076342</v>
      </c>
      <c r="N11" s="116"/>
      <c r="O11" s="116"/>
      <c r="P11" s="116"/>
      <c r="Q11" s="113"/>
      <c r="R11" s="113"/>
      <c r="S11" s="113"/>
      <c r="T11" s="113"/>
      <c r="U11" s="115"/>
      <c r="V11" s="115"/>
      <c r="W11" s="115"/>
      <c r="X11" s="115"/>
      <c r="Y11" s="116"/>
      <c r="Z11" s="116"/>
    </row>
    <row r="12" spans="1:26" s="7" customFormat="1" ht="14.45" x14ac:dyDescent="0.3">
      <c r="A12" s="37" t="s">
        <v>8</v>
      </c>
      <c r="B12" s="34">
        <f t="shared" si="0"/>
        <v>34245.375</v>
      </c>
      <c r="C12" s="76">
        <f>E45*E37</f>
        <v>91869.750000000015</v>
      </c>
      <c r="D12" s="78">
        <f t="shared" si="2"/>
        <v>126115.12500000001</v>
      </c>
      <c r="E12" s="25">
        <f>(K5*E7/B66)*B45</f>
        <v>92630.934050577154</v>
      </c>
      <c r="F12" s="2">
        <f>(K5*F7/C66)*C45</f>
        <v>5434.4132742641086</v>
      </c>
      <c r="G12" s="26">
        <f>(K5*G7/D66)*D45</f>
        <v>35599.689219850843</v>
      </c>
      <c r="H12" s="28">
        <f>SUM(E12:G12)</f>
        <v>133665.03654469212</v>
      </c>
      <c r="I12" s="11">
        <f>(D12+H12)</f>
        <v>259780.16154469212</v>
      </c>
      <c r="J12" s="4">
        <v>240614.88706894516</v>
      </c>
      <c r="K12" s="95">
        <f t="shared" si="4"/>
        <v>19165.274475746963</v>
      </c>
      <c r="L12" s="87"/>
      <c r="M12" s="84">
        <f t="shared" si="5"/>
        <v>225534.78654469212</v>
      </c>
      <c r="N12" s="115"/>
      <c r="O12" s="116"/>
      <c r="P12" s="116"/>
      <c r="Q12" s="113"/>
      <c r="R12" s="113"/>
      <c r="S12" s="113"/>
      <c r="T12" s="113"/>
      <c r="U12" s="115"/>
      <c r="V12" s="115"/>
      <c r="W12" s="115"/>
      <c r="X12" s="115"/>
      <c r="Y12" s="116"/>
      <c r="Z12" s="116"/>
    </row>
    <row r="13" spans="1:26" s="7" customFormat="1" ht="14.45" x14ac:dyDescent="0.3">
      <c r="A13" s="37" t="s">
        <v>11</v>
      </c>
      <c r="B13" s="34">
        <f t="shared" si="0"/>
        <v>26195.294999999998</v>
      </c>
      <c r="C13" s="76">
        <f>E46*E37</f>
        <v>64509.750000000007</v>
      </c>
      <c r="D13" s="78">
        <f t="shared" si="2"/>
        <v>90705.045000000013</v>
      </c>
      <c r="E13" s="25">
        <f>(K5*E7/B66)*B46</f>
        <v>58579.493797798386</v>
      </c>
      <c r="F13" s="2">
        <f>(K5*F7/C66)*C46</f>
        <v>4388.8215045833913</v>
      </c>
      <c r="G13" s="26">
        <f>(K5*G7/D66)*D46</f>
        <v>20288.137202221329</v>
      </c>
      <c r="H13" s="114">
        <f>SUM(E13:G13)</f>
        <v>83256.452504603105</v>
      </c>
      <c r="I13" s="11">
        <f>(D13+H13)</f>
        <v>173961.49750460312</v>
      </c>
      <c r="J13" s="4">
        <v>159479.87347148306</v>
      </c>
      <c r="K13" s="11">
        <f t="shared" si="4"/>
        <v>14481.624033120053</v>
      </c>
      <c r="L13" s="87"/>
      <c r="M13" s="84">
        <f t="shared" si="5"/>
        <v>147766.20250460313</v>
      </c>
      <c r="N13" s="116"/>
      <c r="O13" s="116"/>
      <c r="P13" s="116"/>
      <c r="Q13" s="113"/>
      <c r="R13" s="113"/>
      <c r="S13" s="113"/>
      <c r="T13" s="113"/>
      <c r="U13" s="115"/>
      <c r="V13" s="115"/>
      <c r="W13" s="115"/>
      <c r="X13" s="115"/>
      <c r="Y13" s="116"/>
      <c r="Z13" s="116"/>
    </row>
    <row r="14" spans="1:26" s="7" customFormat="1" x14ac:dyDescent="0.25">
      <c r="A14" s="37" t="s">
        <v>6</v>
      </c>
      <c r="B14" s="34">
        <f t="shared" si="0"/>
        <v>503.16477199999997</v>
      </c>
      <c r="C14" s="76">
        <f>E47*E37</f>
        <v>1273.95</v>
      </c>
      <c r="D14" s="78">
        <f t="shared" si="2"/>
        <v>1777.1147719999999</v>
      </c>
      <c r="E14" s="25">
        <f>(K5*E7/B66)*B47</f>
        <v>1773.9906626021452</v>
      </c>
      <c r="F14" s="2">
        <f>(K5*F7/C66)*C47</f>
        <v>2390.8754478686456</v>
      </c>
      <c r="G14" s="26">
        <f>(K5*G7/D66)*D47</f>
        <v>1018.5826360597074</v>
      </c>
      <c r="H14" s="114">
        <f t="shared" si="3"/>
        <v>5183.4487465304983</v>
      </c>
      <c r="I14" s="11">
        <f t="shared" si="1"/>
        <v>6960.5635185304982</v>
      </c>
      <c r="J14" s="4">
        <v>6479.8592592654495</v>
      </c>
      <c r="K14" s="11">
        <f t="shared" si="4"/>
        <v>480.70425926504868</v>
      </c>
      <c r="L14" s="87"/>
      <c r="M14" s="84">
        <f t="shared" si="5"/>
        <v>6457.3987465304981</v>
      </c>
      <c r="N14" s="116"/>
      <c r="O14" s="116"/>
      <c r="P14" s="116"/>
      <c r="Q14" s="113"/>
      <c r="R14" s="113"/>
      <c r="S14" s="113"/>
      <c r="T14" s="113"/>
      <c r="U14" s="115"/>
      <c r="V14" s="115"/>
      <c r="W14" s="115"/>
      <c r="X14" s="115"/>
      <c r="Y14" s="116"/>
      <c r="Z14" s="116"/>
    </row>
    <row r="15" spans="1:26" s="7" customFormat="1" x14ac:dyDescent="0.25">
      <c r="A15" s="37" t="s">
        <v>18</v>
      </c>
      <c r="B15" s="34">
        <f t="shared" si="0"/>
        <v>3001.7223680000002</v>
      </c>
      <c r="C15" s="76">
        <f>E48*E37</f>
        <v>4719.6000000000004</v>
      </c>
      <c r="D15" s="78">
        <f t="shared" si="2"/>
        <v>7721.322368000001</v>
      </c>
      <c r="E15" s="25">
        <f>(K5*E7/B66)*B48</f>
        <v>6841.2496328964517</v>
      </c>
      <c r="F15" s="2">
        <f>(K5*F7/C66)*C48</f>
        <v>2154.4518311574006</v>
      </c>
      <c r="G15" s="26">
        <f>(K5*G7/D66)*D48</f>
        <v>6364.6374882730252</v>
      </c>
      <c r="H15" s="114">
        <f>SUM(E15:G15)</f>
        <v>15360.338952326878</v>
      </c>
      <c r="I15" s="11">
        <f t="shared" si="1"/>
        <v>23081.661320326879</v>
      </c>
      <c r="J15" s="4">
        <v>20881.169387598937</v>
      </c>
      <c r="K15" s="11">
        <f t="shared" si="4"/>
        <v>2200.4919327279422</v>
      </c>
      <c r="L15" s="87"/>
      <c r="M15" s="84">
        <f t="shared" si="5"/>
        <v>20079.93895232688</v>
      </c>
      <c r="N15" s="116"/>
      <c r="O15" s="116"/>
      <c r="P15" s="116"/>
      <c r="Q15" s="113"/>
      <c r="R15" s="113"/>
      <c r="S15" s="113"/>
      <c r="T15" s="113"/>
      <c r="U15" s="115"/>
      <c r="V15" s="115"/>
      <c r="W15" s="115"/>
      <c r="X15" s="115"/>
      <c r="Y15" s="116"/>
      <c r="Z15" s="116"/>
    </row>
    <row r="16" spans="1:26" s="7" customFormat="1" x14ac:dyDescent="0.25">
      <c r="A16" s="37" t="s">
        <v>15</v>
      </c>
      <c r="B16" s="34">
        <f t="shared" si="0"/>
        <v>600.04748299999994</v>
      </c>
      <c r="C16" s="76">
        <f>E49*E37</f>
        <v>4916.25</v>
      </c>
      <c r="D16" s="78">
        <f t="shared" si="2"/>
        <v>5516.2974830000003</v>
      </c>
      <c r="E16" s="25">
        <f>(K5*E7/B66)*B49</f>
        <v>3683.8882709439777</v>
      </c>
      <c r="F16" s="2">
        <f>(K5*F7/C66)*C49</f>
        <v>4638.5647616727347</v>
      </c>
      <c r="G16" s="26">
        <f>(K5*G7/D66)*D49</f>
        <v>2988.4321979712772</v>
      </c>
      <c r="H16" s="114">
        <f>SUM(E16:G16)</f>
        <v>11310.885230587988</v>
      </c>
      <c r="I16" s="11">
        <f t="shared" si="1"/>
        <v>16827.182713587987</v>
      </c>
      <c r="J16" s="4">
        <v>15448.01081665011</v>
      </c>
      <c r="K16" s="11">
        <f t="shared" si="4"/>
        <v>1379.1718969378762</v>
      </c>
      <c r="L16" s="87"/>
      <c r="M16" s="84">
        <f t="shared" si="5"/>
        <v>16227.135230587986</v>
      </c>
      <c r="N16" s="116"/>
      <c r="O16" s="116"/>
      <c r="P16" s="116"/>
      <c r="Q16" s="113"/>
      <c r="R16" s="113"/>
      <c r="S16" s="113"/>
      <c r="T16" s="113"/>
      <c r="U16" s="115"/>
      <c r="V16" s="115"/>
      <c r="W16" s="115"/>
      <c r="X16" s="115"/>
      <c r="Y16" s="116"/>
      <c r="Z16" s="116"/>
    </row>
    <row r="17" spans="1:26" s="7" customFormat="1" ht="14.45" x14ac:dyDescent="0.3">
      <c r="A17" s="37" t="s">
        <v>13</v>
      </c>
      <c r="B17" s="34">
        <f t="shared" si="0"/>
        <v>1137.3</v>
      </c>
      <c r="C17" s="76">
        <f>E50*E37</f>
        <v>0</v>
      </c>
      <c r="D17" s="78">
        <f t="shared" si="2"/>
        <v>1137.3</v>
      </c>
      <c r="E17" s="25">
        <f>(K5*E7/B66)*B50</f>
        <v>1154.759015788205</v>
      </c>
      <c r="F17" s="2">
        <f>(K5*F7/C66)*C50</f>
        <v>356.30038011412967</v>
      </c>
      <c r="G17" s="26">
        <f>(K5*G7/D66)*D50</f>
        <v>1214.3368786238168</v>
      </c>
      <c r="H17" s="114">
        <f>SUM(E17:G17)</f>
        <v>2725.3962745261515</v>
      </c>
      <c r="I17" s="11">
        <f t="shared" si="1"/>
        <v>3862.6962745261517</v>
      </c>
      <c r="J17" s="4">
        <v>3654.0452481296857</v>
      </c>
      <c r="K17" s="11">
        <f t="shared" si="4"/>
        <v>208.65102639646602</v>
      </c>
      <c r="L17" s="87">
        <v>400</v>
      </c>
      <c r="M17" s="84">
        <f t="shared" si="5"/>
        <v>3125.3962745261515</v>
      </c>
      <c r="N17" s="116"/>
      <c r="O17" s="116"/>
      <c r="P17" s="116"/>
      <c r="Q17" s="113"/>
      <c r="R17" s="113"/>
      <c r="S17" s="113"/>
      <c r="T17" s="113"/>
      <c r="U17" s="115"/>
      <c r="V17" s="115"/>
      <c r="W17" s="115"/>
      <c r="X17" s="115"/>
      <c r="Y17" s="116"/>
      <c r="Z17" s="116"/>
    </row>
    <row r="18" spans="1:26" s="7" customFormat="1" x14ac:dyDescent="0.25">
      <c r="A18" s="37" t="s">
        <v>20</v>
      </c>
      <c r="B18" s="34">
        <f t="shared" si="0"/>
        <v>4820.3026393999999</v>
      </c>
      <c r="C18" s="76">
        <f>E51*E37</f>
        <v>7045.2000000000007</v>
      </c>
      <c r="D18" s="78">
        <f t="shared" si="2"/>
        <v>11865.502639400001</v>
      </c>
      <c r="E18" s="25">
        <f>(K5*E7/B66)*B51</f>
        <v>10666.445125569773</v>
      </c>
      <c r="F18" s="2">
        <f>(K5*F7/C66)*C51</f>
        <v>2447.4839194755632</v>
      </c>
      <c r="G18" s="26">
        <f>(K5*G7/D66)*D51</f>
        <v>7421.3211308697655</v>
      </c>
      <c r="H18" s="114">
        <f t="shared" si="3"/>
        <v>20535.250175915102</v>
      </c>
      <c r="I18" s="11">
        <f t="shared" si="1"/>
        <v>32400.752815315103</v>
      </c>
      <c r="J18" s="4">
        <v>30135.69819229612</v>
      </c>
      <c r="K18" s="11">
        <f t="shared" si="4"/>
        <v>2265.054623018983</v>
      </c>
      <c r="L18" s="87"/>
      <c r="M18" s="84">
        <f t="shared" si="5"/>
        <v>27580.450175915103</v>
      </c>
      <c r="N18" s="116"/>
      <c r="O18" s="116"/>
      <c r="P18" s="116"/>
      <c r="Q18" s="113"/>
      <c r="R18" s="113"/>
      <c r="S18" s="113"/>
      <c r="T18" s="113"/>
      <c r="U18" s="115"/>
      <c r="V18" s="115"/>
      <c r="W18" s="115"/>
      <c r="X18" s="115"/>
      <c r="Y18" s="116"/>
      <c r="Z18" s="116"/>
    </row>
    <row r="19" spans="1:26" s="7" customFormat="1" x14ac:dyDescent="0.25">
      <c r="A19" s="37" t="s">
        <v>9</v>
      </c>
      <c r="B19" s="34">
        <f t="shared" si="0"/>
        <v>721.13967119999995</v>
      </c>
      <c r="C19" s="76">
        <f>E52*E37</f>
        <v>4078.3500000000004</v>
      </c>
      <c r="D19" s="78">
        <f t="shared" si="2"/>
        <v>4799.4896712</v>
      </c>
      <c r="E19" s="25">
        <f>(K5*E7/B66)*B52</f>
        <v>2817.1439746041169</v>
      </c>
      <c r="F19" s="2">
        <f>(K5*F7/C66)*C52</f>
        <v>1298.6649368645847</v>
      </c>
      <c r="G19" s="26">
        <f>(K5*G7/D66)*D52</f>
        <v>1716.94380954191</v>
      </c>
      <c r="H19" s="114">
        <f>SUM(E19:G19)</f>
        <v>5832.7527210106118</v>
      </c>
      <c r="I19" s="11">
        <f>(D19+H19)</f>
        <v>10632.242392210612</v>
      </c>
      <c r="J19" s="4">
        <v>9502.7468412735943</v>
      </c>
      <c r="K19" s="11">
        <f t="shared" si="4"/>
        <v>1129.4955509370175</v>
      </c>
      <c r="L19" s="87"/>
      <c r="M19" s="84">
        <f t="shared" si="5"/>
        <v>9911.1027210106113</v>
      </c>
      <c r="N19" s="116"/>
      <c r="O19" s="116"/>
      <c r="P19" s="116"/>
      <c r="Q19" s="113"/>
      <c r="R19" s="113"/>
      <c r="S19" s="113"/>
      <c r="T19" s="113"/>
      <c r="U19" s="115"/>
      <c r="V19" s="115"/>
      <c r="W19" s="115"/>
      <c r="X19" s="117"/>
      <c r="Y19" s="116"/>
      <c r="Z19" s="116"/>
    </row>
    <row r="20" spans="1:26" s="7" customFormat="1" ht="14.45" x14ac:dyDescent="0.3">
      <c r="A20" s="37" t="s">
        <v>3</v>
      </c>
      <c r="B20" s="34">
        <f t="shared" si="0"/>
        <v>289.94075999999995</v>
      </c>
      <c r="C20" s="76">
        <f>E53*E37</f>
        <v>1060.2</v>
      </c>
      <c r="D20" s="78">
        <f t="shared" si="2"/>
        <v>1350.14076</v>
      </c>
      <c r="E20" s="25">
        <f>(K5*E7/B66)*B53</f>
        <v>1212.361959677874</v>
      </c>
      <c r="F20" s="2">
        <f>(K5*F7/C66)*C53</f>
        <v>712.60076022825933</v>
      </c>
      <c r="G20" s="26">
        <f>(K5*G7/D66)*D53</f>
        <v>727.96907639488211</v>
      </c>
      <c r="H20" s="114">
        <f>SUM(E20+F20+G20)</f>
        <v>2652.9317963010153</v>
      </c>
      <c r="I20" s="11">
        <f>D20+H20</f>
        <v>4003.0725563010155</v>
      </c>
      <c r="J20" s="4">
        <v>3571.5018516882287</v>
      </c>
      <c r="K20" s="11">
        <f t="shared" si="4"/>
        <v>431.57070461278681</v>
      </c>
      <c r="L20" s="87">
        <v>2100</v>
      </c>
      <c r="M20" s="84">
        <f>I20+L20-B20</f>
        <v>5813.1317963010151</v>
      </c>
      <c r="N20" s="116"/>
      <c r="O20" s="116"/>
      <c r="P20" s="116"/>
      <c r="Q20" s="113"/>
      <c r="R20" s="113"/>
      <c r="S20" s="113"/>
      <c r="T20" s="113"/>
      <c r="U20" s="115"/>
      <c r="V20" s="115"/>
      <c r="W20" s="115"/>
      <c r="X20" s="115"/>
      <c r="Y20" s="116"/>
      <c r="Z20" s="116"/>
    </row>
    <row r="21" spans="1:26" s="7" customFormat="1" x14ac:dyDescent="0.25">
      <c r="A21" s="37" t="s">
        <v>0</v>
      </c>
      <c r="B21" s="34">
        <f t="shared" si="0"/>
        <v>897.62294369999995</v>
      </c>
      <c r="C21" s="76">
        <f>E54*E37</f>
        <v>1684.3500000000001</v>
      </c>
      <c r="D21" s="78">
        <f t="shared" si="2"/>
        <v>2581.9729437000001</v>
      </c>
      <c r="E21" s="25">
        <f>(K5*E7/B66)*B54</f>
        <v>1476.9754831710402</v>
      </c>
      <c r="F21" s="2">
        <f>(K5*F7/C66)*C54</f>
        <v>1764.8523500980252</v>
      </c>
      <c r="G21" s="26">
        <f>(K5*G7/D66)*D54</f>
        <v>1474.7527365131602</v>
      </c>
      <c r="H21" s="114">
        <f>SUM(E21:G21)</f>
        <v>4716.5805697822252</v>
      </c>
      <c r="I21" s="11">
        <f t="shared" si="1"/>
        <v>7298.5535134822258</v>
      </c>
      <c r="J21" s="4">
        <v>6692.2411530549716</v>
      </c>
      <c r="K21" s="11">
        <f t="shared" si="4"/>
        <v>606.31236042725413</v>
      </c>
      <c r="L21" s="87">
        <v>1900</v>
      </c>
      <c r="M21" s="84">
        <f t="shared" si="5"/>
        <v>8300.9305697822256</v>
      </c>
      <c r="N21" s="116"/>
      <c r="O21" s="116"/>
      <c r="P21" s="116"/>
      <c r="Q21" s="113"/>
      <c r="R21" s="113"/>
      <c r="S21" s="113"/>
      <c r="T21" s="113"/>
      <c r="U21" s="115"/>
      <c r="V21" s="115"/>
      <c r="W21" s="115"/>
      <c r="X21" s="115"/>
      <c r="Y21" s="116"/>
      <c r="Z21" s="116"/>
    </row>
    <row r="22" spans="1:26" s="7" customFormat="1" x14ac:dyDescent="0.25">
      <c r="A22" s="37" t="s">
        <v>7</v>
      </c>
      <c r="B22" s="34">
        <f t="shared" si="0"/>
        <v>1546.8589999999997</v>
      </c>
      <c r="C22" s="76">
        <f>E55*E37</f>
        <v>0</v>
      </c>
      <c r="D22" s="78">
        <f t="shared" si="2"/>
        <v>1546.8589999999997</v>
      </c>
      <c r="E22" s="25">
        <f>(K5*E7/B66)*B55</f>
        <v>623.73187680532044</v>
      </c>
      <c r="F22" s="2">
        <f>(K5*F7/C66)*C55</f>
        <v>1022.2823990190448</v>
      </c>
      <c r="G22" s="26">
        <f>(K5*G7/D66)*D55</f>
        <v>905.12499481862312</v>
      </c>
      <c r="H22" s="114">
        <f>SUM(E22:G22)</f>
        <v>2551.1392706429883</v>
      </c>
      <c r="I22" s="11">
        <f>D22+H22</f>
        <v>4097.9982706429882</v>
      </c>
      <c r="J22" s="4">
        <v>3697.8562537561406</v>
      </c>
      <c r="K22" s="11">
        <f t="shared" si="4"/>
        <v>400.14201688684761</v>
      </c>
      <c r="L22" s="87">
        <v>500</v>
      </c>
      <c r="M22" s="84">
        <f t="shared" si="5"/>
        <v>3051.1392706429888</v>
      </c>
      <c r="N22" s="116"/>
      <c r="O22" s="116"/>
      <c r="P22" s="116"/>
      <c r="Q22" s="113"/>
      <c r="R22" s="113"/>
      <c r="S22" s="113"/>
      <c r="T22" s="113"/>
      <c r="U22" s="115"/>
      <c r="V22" s="115"/>
      <c r="W22" s="115"/>
      <c r="X22" s="117"/>
      <c r="Y22" s="116"/>
      <c r="Z22" s="116"/>
    </row>
    <row r="23" spans="1:26" s="7" customFormat="1" ht="14.45" x14ac:dyDescent="0.3">
      <c r="A23" s="37" t="s">
        <v>12</v>
      </c>
      <c r="B23" s="34">
        <f t="shared" si="0"/>
        <v>600</v>
      </c>
      <c r="C23" s="76">
        <f>E56*E37</f>
        <v>1316.7</v>
      </c>
      <c r="D23" s="78">
        <f t="shared" si="2"/>
        <v>1916.7</v>
      </c>
      <c r="E23" s="25">
        <f>(K5*E7/B66)*B56</f>
        <v>1096.2560259002603</v>
      </c>
      <c r="F23" s="2">
        <f>(K5*F7/C66)*C56</f>
        <v>1142.1591624219295</v>
      </c>
      <c r="G23" s="26">
        <f>(K5*G7/D66)*D56</f>
        <v>598.29196642673253</v>
      </c>
      <c r="H23" s="114">
        <f t="shared" si="3"/>
        <v>2836.7071547489222</v>
      </c>
      <c r="I23" s="11">
        <f>(D23+H23)</f>
        <v>4753.407154748922</v>
      </c>
      <c r="J23" s="4">
        <v>5105.2263939700115</v>
      </c>
      <c r="K23" s="11">
        <f t="shared" si="4"/>
        <v>-351.81923922108945</v>
      </c>
      <c r="L23" s="87">
        <v>700</v>
      </c>
      <c r="M23" s="84">
        <f>I23+L23-B23</f>
        <v>4853.407154748922</v>
      </c>
      <c r="N23" s="116"/>
      <c r="O23" s="116"/>
      <c r="P23" s="116"/>
      <c r="Q23" s="113"/>
      <c r="R23" s="113"/>
      <c r="S23" s="113"/>
      <c r="T23" s="113"/>
      <c r="U23" s="115"/>
      <c r="V23" s="115"/>
      <c r="W23" s="115"/>
      <c r="X23" s="115"/>
      <c r="Y23" s="116"/>
      <c r="Z23" s="116"/>
    </row>
    <row r="24" spans="1:26" s="7" customFormat="1" x14ac:dyDescent="0.25">
      <c r="A24" s="37" t="s">
        <v>5</v>
      </c>
      <c r="B24" s="34">
        <f t="shared" si="0"/>
        <v>1319.9903964</v>
      </c>
      <c r="C24" s="76">
        <f>E57*E37</f>
        <v>3573.9</v>
      </c>
      <c r="D24" s="78">
        <f t="shared" si="2"/>
        <v>4893.8903964000001</v>
      </c>
      <c r="E24" s="25">
        <f>(K5*E7/B66)*B57</f>
        <v>3011.5539102317493</v>
      </c>
      <c r="F24" s="2">
        <f>(K5*F7/C66)*C57</f>
        <v>962.34401731760249</v>
      </c>
      <c r="G24" s="26">
        <f>(K5*G7/D66)*D57</f>
        <v>2478.4134613439674</v>
      </c>
      <c r="H24" s="114">
        <f>SUM(E24:G24)</f>
        <v>6452.3113888933194</v>
      </c>
      <c r="I24" s="11">
        <f>(D24+H24)</f>
        <v>11346.20178529332</v>
      </c>
      <c r="J24" s="4">
        <v>10357.771806190463</v>
      </c>
      <c r="K24" s="11">
        <f t="shared" si="4"/>
        <v>988.42997910285703</v>
      </c>
      <c r="L24" s="87"/>
      <c r="M24" s="84">
        <f t="shared" si="5"/>
        <v>10026.21138889332</v>
      </c>
      <c r="N24" s="116"/>
      <c r="O24" s="116"/>
      <c r="P24" s="116"/>
      <c r="Q24" s="113"/>
      <c r="R24" s="113"/>
      <c r="S24" s="113"/>
      <c r="T24" s="113"/>
      <c r="U24" s="115"/>
      <c r="V24" s="115"/>
      <c r="W24" s="115"/>
      <c r="X24" s="115"/>
      <c r="Y24" s="116"/>
      <c r="Z24" s="116"/>
    </row>
    <row r="25" spans="1:26" s="7" customFormat="1" ht="14.45" x14ac:dyDescent="0.3">
      <c r="A25" s="36" t="s">
        <v>21</v>
      </c>
      <c r="B25" s="34">
        <f t="shared" si="0"/>
        <v>2859.8901814000001</v>
      </c>
      <c r="C25" s="76">
        <f>E58*E37</f>
        <v>4676.8500000000004</v>
      </c>
      <c r="D25" s="78">
        <f t="shared" si="2"/>
        <v>7536.7401814000004</v>
      </c>
      <c r="E25" s="25">
        <f>(K5*E7/B66)*B58</f>
        <v>5696.3911230892827</v>
      </c>
      <c r="F25" s="2">
        <f>(K5*F7/C66)*C58</f>
        <v>5547.6302174779439</v>
      </c>
      <c r="G25" s="26">
        <f>(K5*G7/D66)*D58</f>
        <v>6310.5529325540465</v>
      </c>
      <c r="H25" s="114">
        <f>SUM(E25:G25)</f>
        <v>17554.574273121274</v>
      </c>
      <c r="I25" s="11">
        <f t="shared" si="1"/>
        <v>25091.314454521274</v>
      </c>
      <c r="J25" s="4">
        <v>23428.808797911504</v>
      </c>
      <c r="K25" s="11">
        <f t="shared" si="4"/>
        <v>1662.5056566097701</v>
      </c>
      <c r="L25" s="87"/>
      <c r="M25" s="84">
        <f t="shared" si="5"/>
        <v>22231.424273121273</v>
      </c>
      <c r="N25" s="116"/>
      <c r="O25" s="116"/>
      <c r="P25" s="116"/>
      <c r="Q25" s="113"/>
      <c r="R25" s="113"/>
      <c r="S25" s="113"/>
      <c r="T25" s="113"/>
      <c r="U25" s="115"/>
      <c r="V25" s="115"/>
      <c r="W25" s="115"/>
      <c r="X25" s="115"/>
      <c r="Y25" s="116"/>
      <c r="Z25" s="116"/>
    </row>
    <row r="26" spans="1:26" s="7" customFormat="1" x14ac:dyDescent="0.25">
      <c r="A26" s="37" t="s">
        <v>2</v>
      </c>
      <c r="B26" s="34">
        <f t="shared" si="0"/>
        <v>473.13119219999999</v>
      </c>
      <c r="C26" s="76">
        <f>E59*E37</f>
        <v>2855.7000000000003</v>
      </c>
      <c r="D26" s="78">
        <f t="shared" si="2"/>
        <v>3328.8311922000003</v>
      </c>
      <c r="E26" s="25">
        <f>(K5*E7/B66)*B59</f>
        <v>2367.120975466079</v>
      </c>
      <c r="F26" s="2">
        <f>(K5*F7/C66)*C59</f>
        <v>2194.4107522916956</v>
      </c>
      <c r="G26" s="26">
        <f>(K5*G7/D66)*D59</f>
        <v>1257.1366161011761</v>
      </c>
      <c r="H26" s="114">
        <f>SUM(E26:G26)</f>
        <v>5818.6683438589498</v>
      </c>
      <c r="I26" s="11">
        <f t="shared" si="1"/>
        <v>9147.4995360589492</v>
      </c>
      <c r="J26" s="4">
        <v>8329.9879703791448</v>
      </c>
      <c r="K26" s="11">
        <f t="shared" si="4"/>
        <v>817.51156567980433</v>
      </c>
      <c r="L26" s="87"/>
      <c r="M26" s="84">
        <f t="shared" si="5"/>
        <v>8674.3683438589487</v>
      </c>
      <c r="N26" s="116"/>
      <c r="O26" s="116"/>
      <c r="P26" s="116"/>
      <c r="Q26" s="113"/>
      <c r="R26" s="113"/>
      <c r="S26" s="113"/>
      <c r="T26" s="113"/>
      <c r="U26" s="115"/>
      <c r="V26" s="115"/>
      <c r="W26" s="115"/>
      <c r="X26" s="115"/>
      <c r="Y26" s="116"/>
      <c r="Z26" s="116"/>
    </row>
    <row r="27" spans="1:26" s="7" customFormat="1" ht="14.45" x14ac:dyDescent="0.3">
      <c r="A27" s="37" t="s">
        <v>4</v>
      </c>
      <c r="B27" s="34">
        <f t="shared" si="0"/>
        <v>486.60728599999999</v>
      </c>
      <c r="C27" s="76">
        <f>E60*E37</f>
        <v>239.40000000000003</v>
      </c>
      <c r="D27" s="78">
        <f t="shared" si="2"/>
        <v>726.00728600000002</v>
      </c>
      <c r="E27" s="25">
        <f>(K5*E7/B66)*B60</f>
        <v>1026.0524380347263</v>
      </c>
      <c r="F27" s="2">
        <f>(K5*F7/C66)*C60</f>
        <v>1341.9537680934043</v>
      </c>
      <c r="G27" s="26">
        <f>(K5*G7/D66)*D60</f>
        <v>1054.2851272213447</v>
      </c>
      <c r="H27" s="114">
        <f>SUM(E27:G27)</f>
        <v>3422.2913333494753</v>
      </c>
      <c r="I27" s="11">
        <f>D27+H27</f>
        <v>4148.2986193494753</v>
      </c>
      <c r="J27" s="4">
        <v>3937.1757167922838</v>
      </c>
      <c r="K27" s="11">
        <f t="shared" si="4"/>
        <v>211.12290255719154</v>
      </c>
      <c r="L27" s="87"/>
      <c r="M27" s="84">
        <f>I27+L27-B27</f>
        <v>3661.6913333494754</v>
      </c>
      <c r="N27" s="116"/>
      <c r="O27" s="116"/>
      <c r="P27" s="116"/>
      <c r="Q27" s="113"/>
      <c r="R27" s="113"/>
      <c r="S27" s="113"/>
      <c r="T27" s="113"/>
      <c r="U27" s="115"/>
      <c r="V27" s="115"/>
      <c r="W27" s="115"/>
      <c r="X27" s="115"/>
      <c r="Y27" s="116"/>
      <c r="Z27" s="116"/>
    </row>
    <row r="28" spans="1:26" s="7" customFormat="1" ht="14.45" x14ac:dyDescent="0.3">
      <c r="A28" s="37" t="s">
        <v>22</v>
      </c>
      <c r="B28" s="34">
        <f t="shared" si="0"/>
        <v>1033.8818578</v>
      </c>
      <c r="C28" s="76">
        <f>E61*E37</f>
        <v>4326.3</v>
      </c>
      <c r="D28" s="78">
        <f t="shared" si="2"/>
        <v>5360.1818578000002</v>
      </c>
      <c r="E28" s="25">
        <f>(K5*E7/B66)*B61</f>
        <v>4475.0287034286484</v>
      </c>
      <c r="F28" s="2">
        <f>(K5*F7/C66)*C61</f>
        <v>5744.0949130548934</v>
      </c>
      <c r="G28" s="26">
        <f>(K5*G7/D66)*D61</f>
        <v>2969.9321736413758</v>
      </c>
      <c r="H28" s="114">
        <f t="shared" si="3"/>
        <v>13189.055790124919</v>
      </c>
      <c r="I28" s="11">
        <f t="shared" si="1"/>
        <v>18549.237647924921</v>
      </c>
      <c r="J28" s="4">
        <v>17158.520767793627</v>
      </c>
      <c r="K28" s="11">
        <f t="shared" si="4"/>
        <v>1390.7168801312946</v>
      </c>
      <c r="L28" s="87"/>
      <c r="M28" s="84">
        <f t="shared" si="5"/>
        <v>17515.355790124922</v>
      </c>
      <c r="N28" s="116"/>
      <c r="O28" s="116"/>
      <c r="P28" s="116"/>
      <c r="Q28" s="113"/>
      <c r="R28" s="113"/>
      <c r="S28" s="113"/>
      <c r="T28" s="113"/>
      <c r="U28" s="115"/>
      <c r="V28" s="115"/>
      <c r="W28" s="115"/>
      <c r="X28" s="115"/>
      <c r="Y28" s="116"/>
      <c r="Z28" s="116"/>
    </row>
    <row r="29" spans="1:26" s="7" customFormat="1" x14ac:dyDescent="0.25">
      <c r="A29" s="37" t="s">
        <v>1</v>
      </c>
      <c r="B29" s="34">
        <f t="shared" si="0"/>
        <v>1816.7517150000001</v>
      </c>
      <c r="C29" s="76">
        <f>E62*E37</f>
        <v>4086.9000000000005</v>
      </c>
      <c r="D29" s="78">
        <f t="shared" si="2"/>
        <v>5903.6517150000009</v>
      </c>
      <c r="E29" s="25">
        <f>(K5*E7/B66)*B62</f>
        <v>3333.7703776145845</v>
      </c>
      <c r="F29" s="2">
        <f>(K5*F7/C66)*C62</f>
        <v>3066.847197057135</v>
      </c>
      <c r="G29" s="26">
        <f>(K5*G7/D66)*D62</f>
        <v>3097.6629473622779</v>
      </c>
      <c r="H29" s="114">
        <f>SUM(E29:G29)</f>
        <v>9498.2805220339978</v>
      </c>
      <c r="I29" s="11">
        <f t="shared" si="1"/>
        <v>15401.932237033998</v>
      </c>
      <c r="J29" s="4">
        <v>13924.321674595934</v>
      </c>
      <c r="K29" s="11">
        <f t="shared" si="4"/>
        <v>1477.6105624380634</v>
      </c>
      <c r="L29" s="87"/>
      <c r="M29" s="84">
        <f t="shared" si="5"/>
        <v>13585.180522033997</v>
      </c>
      <c r="N29" s="116"/>
      <c r="O29" s="116"/>
      <c r="P29" s="116"/>
      <c r="Q29" s="113"/>
      <c r="R29" s="113"/>
      <c r="S29" s="113"/>
      <c r="T29" s="113"/>
      <c r="U29" s="115"/>
      <c r="V29" s="115"/>
      <c r="W29" s="115"/>
      <c r="X29" s="115"/>
      <c r="Y29" s="116"/>
      <c r="Z29" s="116"/>
    </row>
    <row r="30" spans="1:26" s="7" customFormat="1" ht="14.45" x14ac:dyDescent="0.3">
      <c r="A30" s="37" t="s">
        <v>16</v>
      </c>
      <c r="B30" s="34">
        <f t="shared" si="0"/>
        <v>3016.3498189000002</v>
      </c>
      <c r="C30" s="76">
        <f>(E63*E37)</f>
        <v>4386.1500000000005</v>
      </c>
      <c r="D30" s="78">
        <f t="shared" si="2"/>
        <v>7402.4998189000007</v>
      </c>
      <c r="E30" s="25">
        <f>(K5*E7/B66)*B63</f>
        <v>3927.8007364767941</v>
      </c>
      <c r="F30" s="2">
        <f>(K5*F7/C66)*C63</f>
        <v>3869.3555298375572</v>
      </c>
      <c r="G30" s="26">
        <f>(K5*G7/D66)*D63</f>
        <v>4657.464679891541</v>
      </c>
      <c r="H30" s="114">
        <f>SUM(E30:G30)</f>
        <v>12454.620946205892</v>
      </c>
      <c r="I30" s="11">
        <f t="shared" si="1"/>
        <v>19857.120765105894</v>
      </c>
      <c r="J30" s="4">
        <v>17899.519637252211</v>
      </c>
      <c r="K30" s="11">
        <f t="shared" si="4"/>
        <v>1957.6011278536826</v>
      </c>
      <c r="L30" s="87"/>
      <c r="M30" s="84">
        <f t="shared" si="5"/>
        <v>16840.770946205892</v>
      </c>
      <c r="N30" s="116"/>
      <c r="O30" s="116"/>
      <c r="P30" s="116"/>
      <c r="Q30" s="113"/>
      <c r="R30" s="113"/>
      <c r="S30" s="113"/>
      <c r="T30" s="113"/>
      <c r="U30" s="115"/>
      <c r="V30" s="115"/>
      <c r="W30" s="115"/>
      <c r="X30" s="117"/>
      <c r="Y30" s="116"/>
      <c r="Z30" s="116"/>
    </row>
    <row r="31" spans="1:26" s="7" customFormat="1" x14ac:dyDescent="0.25">
      <c r="A31" s="37" t="s">
        <v>17</v>
      </c>
      <c r="B31" s="34">
        <f t="shared" si="0"/>
        <v>794.97209879999991</v>
      </c>
      <c r="C31" s="76">
        <f>E64*E37</f>
        <v>0</v>
      </c>
      <c r="D31" s="78">
        <f t="shared" si="2"/>
        <v>794.97209879999991</v>
      </c>
      <c r="E31" s="25">
        <f>(K5*E7/B66)*B64</f>
        <v>1665.08509681074</v>
      </c>
      <c r="F31" s="2">
        <f>(K5*F7/C66)*C64</f>
        <v>939.03464665593037</v>
      </c>
      <c r="G31" s="26">
        <f>(K5*G7/D66)*D64</f>
        <v>1774.3902187788617</v>
      </c>
      <c r="H31" s="114">
        <f>SUM(E31:G31)</f>
        <v>4378.5099622455318</v>
      </c>
      <c r="I31" s="11">
        <f t="shared" si="1"/>
        <v>5173.4820610455317</v>
      </c>
      <c r="J31" s="4">
        <v>4966.5444560901842</v>
      </c>
      <c r="K31" s="11">
        <f t="shared" si="4"/>
        <v>206.93760495534752</v>
      </c>
      <c r="L31" s="87"/>
      <c r="M31" s="84">
        <f t="shared" si="5"/>
        <v>4378.5099622455318</v>
      </c>
      <c r="N31" s="116"/>
      <c r="O31" s="116"/>
      <c r="P31" s="116"/>
      <c r="Q31" s="113"/>
      <c r="R31" s="113"/>
      <c r="S31" s="113"/>
      <c r="T31" s="113"/>
      <c r="U31" s="115"/>
      <c r="V31" s="115"/>
      <c r="W31" s="115"/>
      <c r="X31" s="117"/>
      <c r="Y31" s="116"/>
      <c r="Z31" s="116"/>
    </row>
    <row r="32" spans="1:26" s="7" customFormat="1" ht="15.75" thickBot="1" x14ac:dyDescent="0.3">
      <c r="A32" s="38" t="s">
        <v>10</v>
      </c>
      <c r="B32" s="35">
        <f t="shared" si="0"/>
        <v>197.74286000000001</v>
      </c>
      <c r="C32" s="89">
        <f>E65*E37</f>
        <v>359.1</v>
      </c>
      <c r="D32" s="120">
        <f t="shared" si="2"/>
        <v>556.84285999999997</v>
      </c>
      <c r="E32" s="102">
        <f>(K5*E7/B66)*B65</f>
        <v>1275.3651795571993</v>
      </c>
      <c r="F32" s="6">
        <f>(K5*F7/C66)*C65</f>
        <v>1611.6764857498947</v>
      </c>
      <c r="G32" s="27">
        <f>(K5*G7/D66)*D65</f>
        <v>737.32721835134657</v>
      </c>
      <c r="H32" s="29">
        <f>SUM(E32:G32)</f>
        <v>3624.3688836584406</v>
      </c>
      <c r="I32" s="12">
        <f t="shared" si="1"/>
        <v>4181.2117436584404</v>
      </c>
      <c r="J32" s="5">
        <v>3968.3293854746298</v>
      </c>
      <c r="K32" s="12">
        <f t="shared" si="4"/>
        <v>212.88235818381054</v>
      </c>
      <c r="L32" s="88">
        <v>1000</v>
      </c>
      <c r="M32" s="85">
        <f t="shared" si="5"/>
        <v>4983.4688836584401</v>
      </c>
      <c r="N32" s="116"/>
      <c r="O32" s="116"/>
      <c r="P32" s="116"/>
      <c r="Q32" s="113"/>
      <c r="R32" s="113"/>
      <c r="S32" s="113"/>
      <c r="T32" s="113"/>
      <c r="U32" s="115"/>
      <c r="V32" s="115"/>
      <c r="W32" s="115"/>
      <c r="X32" s="115"/>
      <c r="Y32" s="116"/>
      <c r="Z32" s="116"/>
    </row>
    <row r="33" spans="1:26" s="101" customFormat="1" ht="15.6" thickTop="1" thickBot="1" x14ac:dyDescent="0.35">
      <c r="A33" s="96" t="s">
        <v>23</v>
      </c>
      <c r="B33" s="97">
        <f>SUM(B10:B32)</f>
        <v>116770.89867800001</v>
      </c>
      <c r="C33" s="98">
        <f>E66*E37</f>
        <v>262758.60000000003</v>
      </c>
      <c r="D33" s="99">
        <f>(B33+C33)+1</f>
        <v>379530.49867800006</v>
      </c>
      <c r="E33" s="106">
        <f>SUM(E10:E32)</f>
        <v>261567.76783499998</v>
      </c>
      <c r="F33" s="107">
        <f>SUM(F10:F32)</f>
        <v>71336.663954999982</v>
      </c>
      <c r="G33" s="108">
        <f>SUM(G10:G32)</f>
        <v>142673.32790999999</v>
      </c>
      <c r="H33" s="108">
        <f>SUM(H10:H32)</f>
        <v>475577.7597</v>
      </c>
      <c r="I33" s="103">
        <f>D33+H33</f>
        <v>855108.258378</v>
      </c>
      <c r="J33" s="99">
        <f>SUM(J10:J32)+2</f>
        <v>788761.07500000007</v>
      </c>
      <c r="K33" s="104">
        <f>SUM(K10:K32)</f>
        <v>66348.183378000016</v>
      </c>
      <c r="L33" s="100">
        <f>SUM(L17:L32)</f>
        <v>6600</v>
      </c>
      <c r="M33" s="105">
        <f>SUM(M10:M32)</f>
        <v>744936.35970000015</v>
      </c>
      <c r="N33" s="118"/>
      <c r="O33" s="118"/>
      <c r="P33" s="118"/>
      <c r="Q33" s="118"/>
      <c r="R33" s="119"/>
      <c r="S33" s="119"/>
      <c r="T33" s="119"/>
      <c r="U33" s="118"/>
      <c r="V33" s="118"/>
      <c r="W33" s="118"/>
      <c r="X33" s="118"/>
      <c r="Y33" s="118"/>
      <c r="Z33" s="118"/>
    </row>
    <row r="34" spans="1:26" s="7" customFormat="1" ht="14.45" x14ac:dyDescent="0.3">
      <c r="D34" s="74"/>
      <c r="H34" s="74"/>
      <c r="I34" s="74"/>
      <c r="M34" s="74"/>
      <c r="N34" s="116"/>
      <c r="O34" s="116"/>
      <c r="P34" s="116"/>
      <c r="Q34" s="113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s="7" customFormat="1" ht="14.45" x14ac:dyDescent="0.3">
      <c r="D35" s="74"/>
      <c r="I35" s="74"/>
      <c r="K35" s="74"/>
      <c r="M35" s="112"/>
      <c r="R35" s="101"/>
    </row>
    <row r="36" spans="1:26" s="7" customFormat="1" ht="14.45" x14ac:dyDescent="0.3">
      <c r="I36" s="74"/>
    </row>
    <row r="37" spans="1:26" s="7" customFormat="1" ht="15.75" x14ac:dyDescent="0.25">
      <c r="C37" s="395" t="s">
        <v>49</v>
      </c>
      <c r="D37" s="396"/>
      <c r="E37" s="109">
        <v>8.5500000000000007</v>
      </c>
      <c r="F37" s="32" t="s">
        <v>44</v>
      </c>
      <c r="N37" s="74"/>
    </row>
    <row r="38" spans="1:26" s="7" customFormat="1" ht="14.45" x14ac:dyDescent="0.3"/>
    <row r="39" spans="1:26" s="7" customFormat="1" thickBot="1" x14ac:dyDescent="0.35"/>
    <row r="40" spans="1:26" s="7" customFormat="1" x14ac:dyDescent="0.25">
      <c r="A40" s="401" t="s">
        <v>31</v>
      </c>
      <c r="B40" s="404" t="s">
        <v>57</v>
      </c>
      <c r="C40" s="387" t="s">
        <v>41</v>
      </c>
      <c r="D40" s="387" t="s">
        <v>42</v>
      </c>
      <c r="E40" s="387" t="s">
        <v>53</v>
      </c>
      <c r="F40" s="387" t="s">
        <v>45</v>
      </c>
      <c r="G40" s="387" t="s">
        <v>46</v>
      </c>
      <c r="H40" s="392" t="s">
        <v>50</v>
      </c>
    </row>
    <row r="41" spans="1:26" s="7" customFormat="1" x14ac:dyDescent="0.25">
      <c r="A41" s="402"/>
      <c r="B41" s="405"/>
      <c r="C41" s="388"/>
      <c r="D41" s="388"/>
      <c r="E41" s="388"/>
      <c r="F41" s="388"/>
      <c r="G41" s="388"/>
      <c r="H41" s="393"/>
    </row>
    <row r="42" spans="1:26" s="7" customFormat="1" ht="21.75" customHeight="1" thickBot="1" x14ac:dyDescent="0.3">
      <c r="A42" s="403"/>
      <c r="B42" s="406"/>
      <c r="C42" s="389"/>
      <c r="D42" s="389"/>
      <c r="E42" s="389"/>
      <c r="F42" s="389"/>
      <c r="G42" s="389"/>
      <c r="H42" s="394"/>
    </row>
    <row r="43" spans="1:26" s="7" customFormat="1" ht="15.75" thickTop="1" x14ac:dyDescent="0.25">
      <c r="A43" s="64" t="s">
        <v>32</v>
      </c>
      <c r="B43" s="49">
        <v>37237</v>
      </c>
      <c r="C43" s="50">
        <v>13.24</v>
      </c>
      <c r="D43" s="51">
        <v>1079730</v>
      </c>
      <c r="E43" s="51">
        <v>4803</v>
      </c>
      <c r="F43" s="45">
        <v>2209841.41</v>
      </c>
      <c r="G43" s="52">
        <v>8.15</v>
      </c>
      <c r="H43" s="61">
        <f>F43*G43</f>
        <v>18010207.491500001</v>
      </c>
    </row>
    <row r="44" spans="1:26" s="7" customFormat="1" x14ac:dyDescent="0.25">
      <c r="A44" s="65" t="s">
        <v>14</v>
      </c>
      <c r="B44" s="46">
        <v>20796</v>
      </c>
      <c r="C44" s="47">
        <v>41.74</v>
      </c>
      <c r="D44" s="48">
        <v>854045</v>
      </c>
      <c r="E44" s="48">
        <v>1721</v>
      </c>
      <c r="F44" s="40">
        <v>2071749.43</v>
      </c>
      <c r="G44" s="53">
        <v>5.89</v>
      </c>
      <c r="H44" s="62">
        <f t="shared" ref="H44:H65" si="6">F44*G44</f>
        <v>12202604.1427</v>
      </c>
    </row>
    <row r="45" spans="1:26" s="7" customFormat="1" ht="14.45" x14ac:dyDescent="0.3">
      <c r="A45" s="65" t="s">
        <v>8</v>
      </c>
      <c r="B45" s="46">
        <v>102918</v>
      </c>
      <c r="C45" s="47">
        <v>16.32</v>
      </c>
      <c r="D45" s="48">
        <v>1810771</v>
      </c>
      <c r="E45" s="48">
        <v>10745</v>
      </c>
      <c r="F45" s="40">
        <v>4857500</v>
      </c>
      <c r="G45" s="53">
        <v>7.05</v>
      </c>
      <c r="H45" s="62">
        <f t="shared" si="6"/>
        <v>34245375</v>
      </c>
    </row>
    <row r="46" spans="1:26" s="7" customFormat="1" ht="14.45" x14ac:dyDescent="0.3">
      <c r="A46" s="65" t="s">
        <v>11</v>
      </c>
      <c r="B46" s="46">
        <v>65085</v>
      </c>
      <c r="C46" s="47">
        <v>13.18</v>
      </c>
      <c r="D46" s="48">
        <v>1031952</v>
      </c>
      <c r="E46" s="48">
        <v>7545</v>
      </c>
      <c r="F46" s="40">
        <v>3328500</v>
      </c>
      <c r="G46" s="53">
        <v>7.87</v>
      </c>
      <c r="H46" s="62">
        <f t="shared" si="6"/>
        <v>26195295</v>
      </c>
    </row>
    <row r="47" spans="1:26" s="7" customFormat="1" x14ac:dyDescent="0.25">
      <c r="A47" s="65" t="s">
        <v>6</v>
      </c>
      <c r="B47" s="46">
        <v>1971</v>
      </c>
      <c r="C47" s="47">
        <v>7.18</v>
      </c>
      <c r="D47" s="48">
        <v>51810</v>
      </c>
      <c r="E47" s="48">
        <v>149</v>
      </c>
      <c r="F47" s="40">
        <v>87203.6</v>
      </c>
      <c r="G47" s="53">
        <v>5.77</v>
      </c>
      <c r="H47" s="62">
        <f t="shared" si="6"/>
        <v>503164.772</v>
      </c>
    </row>
    <row r="48" spans="1:26" s="7" customFormat="1" x14ac:dyDescent="0.25">
      <c r="A48" s="65" t="s">
        <v>18</v>
      </c>
      <c r="B48" s="46">
        <v>7601</v>
      </c>
      <c r="C48" s="47">
        <v>6.47</v>
      </c>
      <c r="D48" s="48">
        <v>323736</v>
      </c>
      <c r="E48" s="48">
        <v>552</v>
      </c>
      <c r="F48" s="40">
        <v>469019.12</v>
      </c>
      <c r="G48" s="53">
        <v>6.4</v>
      </c>
      <c r="H48" s="62">
        <f t="shared" si="6"/>
        <v>3001722.3680000002</v>
      </c>
    </row>
    <row r="49" spans="1:12" s="7" customFormat="1" x14ac:dyDescent="0.25">
      <c r="A49" s="65" t="s">
        <v>15</v>
      </c>
      <c r="B49" s="46">
        <v>4093</v>
      </c>
      <c r="C49" s="47">
        <v>13.93</v>
      </c>
      <c r="D49" s="48">
        <v>152006</v>
      </c>
      <c r="E49" s="48">
        <v>575</v>
      </c>
      <c r="F49" s="40">
        <v>84513.73</v>
      </c>
      <c r="G49" s="53">
        <v>7.1</v>
      </c>
      <c r="H49" s="62">
        <f t="shared" si="6"/>
        <v>600047.48299999989</v>
      </c>
    </row>
    <row r="50" spans="1:12" s="7" customFormat="1" ht="14.45" x14ac:dyDescent="0.3">
      <c r="A50" s="65" t="s">
        <v>13</v>
      </c>
      <c r="B50" s="46">
        <v>1283</v>
      </c>
      <c r="C50" s="47">
        <v>1.07</v>
      </c>
      <c r="D50" s="48">
        <v>61767</v>
      </c>
      <c r="E50" s="48">
        <v>0</v>
      </c>
      <c r="F50" s="40">
        <v>170000</v>
      </c>
      <c r="G50" s="53">
        <v>6.69</v>
      </c>
      <c r="H50" s="62">
        <f t="shared" si="6"/>
        <v>1137300</v>
      </c>
    </row>
    <row r="51" spans="1:12" s="7" customFormat="1" x14ac:dyDescent="0.25">
      <c r="A51" s="65" t="s">
        <v>33</v>
      </c>
      <c r="B51" s="46">
        <v>11851</v>
      </c>
      <c r="C51" s="47">
        <v>7.35</v>
      </c>
      <c r="D51" s="48">
        <v>377484</v>
      </c>
      <c r="E51" s="48">
        <v>824</v>
      </c>
      <c r="F51" s="40">
        <v>774968.27</v>
      </c>
      <c r="G51" s="53">
        <v>6.22</v>
      </c>
      <c r="H51" s="62">
        <f t="shared" si="6"/>
        <v>4820302.6393999998</v>
      </c>
    </row>
    <row r="52" spans="1:12" s="7" customFormat="1" x14ac:dyDescent="0.25">
      <c r="A52" s="65" t="s">
        <v>9</v>
      </c>
      <c r="B52" s="46">
        <v>3130</v>
      </c>
      <c r="C52" s="47">
        <v>3.9</v>
      </c>
      <c r="D52" s="48">
        <v>87332</v>
      </c>
      <c r="E52" s="48">
        <v>477</v>
      </c>
      <c r="F52" s="40">
        <v>185860.74</v>
      </c>
      <c r="G52" s="53">
        <v>3.88</v>
      </c>
      <c r="H52" s="62">
        <f t="shared" si="6"/>
        <v>721139.67119999998</v>
      </c>
    </row>
    <row r="53" spans="1:12" s="7" customFormat="1" ht="14.45" x14ac:dyDescent="0.3">
      <c r="A53" s="65" t="s">
        <v>3</v>
      </c>
      <c r="B53" s="46">
        <v>1347</v>
      </c>
      <c r="C53" s="47">
        <v>2.14</v>
      </c>
      <c r="D53" s="48">
        <v>37028</v>
      </c>
      <c r="E53" s="48">
        <v>124</v>
      </c>
      <c r="F53" s="40">
        <v>35017</v>
      </c>
      <c r="G53" s="53">
        <v>8.2799999999999994</v>
      </c>
      <c r="H53" s="62">
        <f t="shared" si="6"/>
        <v>289940.75999999995</v>
      </c>
    </row>
    <row r="54" spans="1:12" s="7" customFormat="1" x14ac:dyDescent="0.25">
      <c r="A54" s="65" t="s">
        <v>0</v>
      </c>
      <c r="B54" s="46">
        <v>1641</v>
      </c>
      <c r="C54" s="47">
        <v>5.3</v>
      </c>
      <c r="D54" s="48">
        <v>75013</v>
      </c>
      <c r="E54" s="48">
        <v>197</v>
      </c>
      <c r="F54" s="40">
        <v>147392.93</v>
      </c>
      <c r="G54" s="53">
        <v>6.09</v>
      </c>
      <c r="H54" s="62">
        <f t="shared" si="6"/>
        <v>897622.94369999995</v>
      </c>
      <c r="I54"/>
      <c r="K54"/>
      <c r="L54"/>
    </row>
    <row r="55" spans="1:12" s="7" customFormat="1" x14ac:dyDescent="0.25">
      <c r="A55" s="65" t="s">
        <v>7</v>
      </c>
      <c r="B55" s="46">
        <v>693</v>
      </c>
      <c r="C55" s="47">
        <v>3.07</v>
      </c>
      <c r="D55" s="48">
        <v>46039</v>
      </c>
      <c r="E55" s="48">
        <v>0</v>
      </c>
      <c r="F55" s="40">
        <v>358900</v>
      </c>
      <c r="G55" s="53">
        <v>4.3099999999999996</v>
      </c>
      <c r="H55" s="62">
        <f t="shared" si="6"/>
        <v>1546858.9999999998</v>
      </c>
      <c r="I55"/>
      <c r="K55"/>
      <c r="L55"/>
    </row>
    <row r="56" spans="1:12" s="7" customFormat="1" ht="14.45" x14ac:dyDescent="0.3">
      <c r="A56" s="65" t="s">
        <v>12</v>
      </c>
      <c r="B56" s="46">
        <v>1218</v>
      </c>
      <c r="C56" s="47">
        <v>3.43</v>
      </c>
      <c r="D56" s="48">
        <v>30432</v>
      </c>
      <c r="E56" s="48">
        <v>154</v>
      </c>
      <c r="F56" s="40">
        <v>172982.68</v>
      </c>
      <c r="G56" s="53">
        <v>7.6</v>
      </c>
      <c r="H56" s="110">
        <v>600000</v>
      </c>
      <c r="I56"/>
      <c r="K56"/>
      <c r="L56"/>
    </row>
    <row r="57" spans="1:12" s="7" customFormat="1" x14ac:dyDescent="0.25">
      <c r="A57" s="65" t="s">
        <v>5</v>
      </c>
      <c r="B57" s="46">
        <v>3346</v>
      </c>
      <c r="C57" s="47">
        <v>2.89</v>
      </c>
      <c r="D57" s="48">
        <v>126064</v>
      </c>
      <c r="E57" s="48">
        <v>418</v>
      </c>
      <c r="F57" s="40">
        <v>212558.84</v>
      </c>
      <c r="G57" s="53">
        <v>6.21</v>
      </c>
      <c r="H57" s="62">
        <f t="shared" si="6"/>
        <v>1319990.3964</v>
      </c>
      <c r="I57"/>
      <c r="K57"/>
      <c r="L57"/>
    </row>
    <row r="58" spans="1:12" s="7" customFormat="1" ht="14.45" x14ac:dyDescent="0.3">
      <c r="A58" s="66" t="s">
        <v>34</v>
      </c>
      <c r="B58" s="46">
        <v>6329</v>
      </c>
      <c r="C58" s="47">
        <v>16.66</v>
      </c>
      <c r="D58" s="48">
        <v>320985</v>
      </c>
      <c r="E58" s="48">
        <v>547</v>
      </c>
      <c r="F58" s="40">
        <v>374821.78</v>
      </c>
      <c r="G58" s="53">
        <v>7.63</v>
      </c>
      <c r="H58" s="62">
        <f t="shared" si="6"/>
        <v>2859890.1814000001</v>
      </c>
      <c r="I58"/>
      <c r="K58"/>
      <c r="L58"/>
    </row>
    <row r="59" spans="1:12" s="7" customFormat="1" x14ac:dyDescent="0.25">
      <c r="A59" s="65" t="s">
        <v>2</v>
      </c>
      <c r="B59" s="46">
        <v>2630</v>
      </c>
      <c r="C59" s="47">
        <v>6.59</v>
      </c>
      <c r="D59" s="48">
        <v>63944</v>
      </c>
      <c r="E59" s="48">
        <v>334</v>
      </c>
      <c r="F59" s="40">
        <v>60502.71</v>
      </c>
      <c r="G59" s="53">
        <v>7.82</v>
      </c>
      <c r="H59" s="62">
        <f t="shared" si="6"/>
        <v>473131.19219999999</v>
      </c>
      <c r="I59"/>
      <c r="K59"/>
      <c r="L59"/>
    </row>
    <row r="60" spans="1:12" s="7" customFormat="1" ht="14.45" x14ac:dyDescent="0.3">
      <c r="A60" s="65" t="s">
        <v>4</v>
      </c>
      <c r="B60" s="46">
        <v>1140</v>
      </c>
      <c r="C60" s="47">
        <v>4.03</v>
      </c>
      <c r="D60" s="48">
        <v>53626</v>
      </c>
      <c r="E60" s="48">
        <v>28</v>
      </c>
      <c r="F60" s="40">
        <v>71037.56</v>
      </c>
      <c r="G60" s="53">
        <v>6.85</v>
      </c>
      <c r="H60" s="62">
        <f t="shared" si="6"/>
        <v>486607.28599999996</v>
      </c>
      <c r="I60"/>
      <c r="K60"/>
      <c r="L60"/>
    </row>
    <row r="61" spans="1:12" s="7" customFormat="1" ht="14.45" x14ac:dyDescent="0.3">
      <c r="A61" s="65" t="s">
        <v>35</v>
      </c>
      <c r="B61" s="46">
        <v>4972</v>
      </c>
      <c r="C61" s="47">
        <v>17.25</v>
      </c>
      <c r="D61" s="48">
        <v>151065</v>
      </c>
      <c r="E61" s="48">
        <v>506</v>
      </c>
      <c r="F61" s="40">
        <v>115131.61</v>
      </c>
      <c r="G61" s="53">
        <v>8.98</v>
      </c>
      <c r="H61" s="62">
        <f t="shared" si="6"/>
        <v>1033881.8578</v>
      </c>
      <c r="I61"/>
      <c r="K61"/>
      <c r="L61"/>
    </row>
    <row r="62" spans="1:12" s="7" customFormat="1" x14ac:dyDescent="0.25">
      <c r="A62" s="65" t="s">
        <v>1</v>
      </c>
      <c r="B62" s="46">
        <v>3704</v>
      </c>
      <c r="C62" s="47">
        <v>9.2100000000000009</v>
      </c>
      <c r="D62" s="48">
        <v>157562</v>
      </c>
      <c r="E62" s="48">
        <v>478</v>
      </c>
      <c r="F62" s="40">
        <v>297828.15000000002</v>
      </c>
      <c r="G62" s="53">
        <v>6.1</v>
      </c>
      <c r="H62" s="62">
        <f t="shared" si="6"/>
        <v>1816751.7150000001</v>
      </c>
      <c r="I62"/>
      <c r="K62"/>
      <c r="L62"/>
    </row>
    <row r="63" spans="1:12" s="7" customFormat="1" x14ac:dyDescent="0.25">
      <c r="A63" s="65" t="s">
        <v>16</v>
      </c>
      <c r="B63" s="46">
        <v>4364</v>
      </c>
      <c r="C63" s="47">
        <v>11.62</v>
      </c>
      <c r="D63" s="48">
        <v>236901</v>
      </c>
      <c r="E63" s="48">
        <v>513</v>
      </c>
      <c r="F63" s="40">
        <v>425437.21</v>
      </c>
      <c r="G63" s="53">
        <v>7.09</v>
      </c>
      <c r="H63" s="62">
        <f t="shared" si="6"/>
        <v>3016349.8189000003</v>
      </c>
      <c r="I63"/>
      <c r="K63"/>
      <c r="L63"/>
    </row>
    <row r="64" spans="1:12" x14ac:dyDescent="0.25">
      <c r="A64" s="65" t="s">
        <v>17</v>
      </c>
      <c r="B64" s="46">
        <v>1850</v>
      </c>
      <c r="C64" s="47">
        <v>2.82</v>
      </c>
      <c r="D64" s="48">
        <v>90254</v>
      </c>
      <c r="E64" s="48">
        <v>0</v>
      </c>
      <c r="F64" s="40">
        <v>119365.18</v>
      </c>
      <c r="G64" s="53">
        <v>6.66</v>
      </c>
      <c r="H64" s="62">
        <f t="shared" si="6"/>
        <v>794972.09879999992</v>
      </c>
    </row>
    <row r="65" spans="1:8" ht="15.75" thickBot="1" x14ac:dyDescent="0.3">
      <c r="A65" s="67" t="s">
        <v>10</v>
      </c>
      <c r="B65" s="56">
        <v>1417</v>
      </c>
      <c r="C65" s="57">
        <v>4.84</v>
      </c>
      <c r="D65" s="58">
        <v>37504</v>
      </c>
      <c r="E65" s="58">
        <v>42</v>
      </c>
      <c r="F65" s="59">
        <v>23597</v>
      </c>
      <c r="G65" s="63">
        <v>8.3800000000000008</v>
      </c>
      <c r="H65" s="68">
        <f t="shared" si="6"/>
        <v>197742.86000000002</v>
      </c>
    </row>
    <row r="66" spans="1:8" ht="16.5" thickTop="1" thickBot="1" x14ac:dyDescent="0.3">
      <c r="A66" s="55" t="s">
        <v>36</v>
      </c>
      <c r="B66" s="41">
        <f t="shared" ref="B66:D66" si="7">SUM(B43:B65)</f>
        <v>290616</v>
      </c>
      <c r="C66" s="42">
        <f t="shared" si="7"/>
        <v>214.23000000000002</v>
      </c>
      <c r="D66" s="43">
        <f t="shared" si="7"/>
        <v>7257050</v>
      </c>
      <c r="E66" s="44">
        <f>SUM(E43:E65)</f>
        <v>30732</v>
      </c>
      <c r="F66" s="54">
        <f>SUM(F43:F65)</f>
        <v>16653728.949999999</v>
      </c>
      <c r="G66" s="60">
        <f>(G43+G44+G45+G46+G47+G48+G49+G50+G51+G52+G53+G54+G55+G56+G57+G58+G59+G60+G61+G62+G63+G64+G65)/23</f>
        <v>6.8269565217391284</v>
      </c>
      <c r="H66" s="111">
        <f>SUM(H43:H65)</f>
        <v>116770898.67800005</v>
      </c>
    </row>
  </sheetData>
  <mergeCells count="14">
    <mergeCell ref="H7:H9"/>
    <mergeCell ref="E40:E42"/>
    <mergeCell ref="A8:A9"/>
    <mergeCell ref="F40:F42"/>
    <mergeCell ref="G40:G42"/>
    <mergeCell ref="H40:H42"/>
    <mergeCell ref="C37:D37"/>
    <mergeCell ref="E8:E9"/>
    <mergeCell ref="F8:F9"/>
    <mergeCell ref="G8:G9"/>
    <mergeCell ref="A40:A42"/>
    <mergeCell ref="B40:B42"/>
    <mergeCell ref="C40:C42"/>
    <mergeCell ref="D40:D42"/>
  </mergeCells>
  <pageMargins left="0.31496062992125984" right="0.31496062992125984" top="0.39370078740157483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7" customWidth="1"/>
    <col min="9" max="9" width="12" customWidth="1"/>
    <col min="10" max="11" width="11.42578125" customWidth="1"/>
    <col min="12" max="12" width="12.140625" customWidth="1"/>
    <col min="13" max="13" width="10" bestFit="1" customWidth="1"/>
    <col min="17" max="17" width="11" bestFit="1" customWidth="1"/>
    <col min="18" max="18" width="10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121" t="s">
        <v>55</v>
      </c>
      <c r="H1" s="122"/>
      <c r="I1" s="123">
        <v>2017</v>
      </c>
      <c r="J1" s="124"/>
      <c r="K1" s="124"/>
      <c r="L1" s="125"/>
    </row>
    <row r="2" spans="1:14" ht="18.75" x14ac:dyDescent="0.3">
      <c r="A2" s="7" t="s">
        <v>64</v>
      </c>
      <c r="B2" s="7"/>
      <c r="C2" s="7"/>
      <c r="D2" s="7"/>
      <c r="E2" s="7"/>
      <c r="F2" s="7"/>
      <c r="G2" s="7" t="s">
        <v>61</v>
      </c>
      <c r="H2" s="139"/>
      <c r="I2" s="140">
        <f>(I4+I3)</f>
        <v>738644.15969999996</v>
      </c>
      <c r="J2" s="126"/>
      <c r="K2" s="126"/>
      <c r="L2" s="126"/>
    </row>
    <row r="3" spans="1:14" ht="15.75" x14ac:dyDescent="0.25">
      <c r="A3" s="7"/>
      <c r="B3" s="7"/>
      <c r="C3" s="7"/>
      <c r="D3" s="7"/>
      <c r="E3" s="7"/>
      <c r="F3" s="7"/>
      <c r="G3" s="20" t="s">
        <v>62</v>
      </c>
      <c r="I3" s="33">
        <f>B32</f>
        <v>263066.40000000002</v>
      </c>
      <c r="J3" s="126"/>
      <c r="K3" s="126"/>
      <c r="L3" s="74"/>
    </row>
    <row r="4" spans="1:14" ht="16.5" thickBot="1" x14ac:dyDescent="0.3">
      <c r="A4" s="7"/>
      <c r="B4" s="7"/>
      <c r="C4" s="7"/>
      <c r="D4" s="7"/>
      <c r="E4" s="7"/>
      <c r="F4" s="7"/>
      <c r="G4" s="7" t="s">
        <v>37</v>
      </c>
      <c r="I4" s="93">
        <f>458919*1.0363</f>
        <v>475577.7597</v>
      </c>
      <c r="J4" s="74"/>
      <c r="K4" s="74"/>
      <c r="L4" s="7"/>
    </row>
    <row r="5" spans="1:14" ht="16.149999999999999" thickBot="1" x14ac:dyDescent="0.35">
      <c r="A5" s="7"/>
      <c r="B5" s="7"/>
      <c r="C5" s="144">
        <v>2</v>
      </c>
      <c r="D5" s="144">
        <v>3</v>
      </c>
      <c r="E5" s="145">
        <v>4</v>
      </c>
      <c r="F5" s="146">
        <v>5</v>
      </c>
      <c r="G5" s="7"/>
      <c r="I5" s="19"/>
      <c r="J5" s="7"/>
      <c r="K5" s="7"/>
      <c r="L5" s="7"/>
    </row>
    <row r="6" spans="1:14" ht="16.5" thickBot="1" x14ac:dyDescent="0.3">
      <c r="A6" s="8"/>
      <c r="B6" s="8"/>
      <c r="C6" s="141">
        <v>0.55000000000000004</v>
      </c>
      <c r="D6" s="142">
        <v>0.15</v>
      </c>
      <c r="E6" s="143">
        <v>0.3</v>
      </c>
      <c r="F6" s="409" t="s">
        <v>58</v>
      </c>
      <c r="G6" s="13"/>
      <c r="H6" s="8"/>
      <c r="I6" s="8"/>
      <c r="J6" s="7"/>
      <c r="K6" s="7"/>
      <c r="L6" s="73" t="s">
        <v>47</v>
      </c>
    </row>
    <row r="7" spans="1:14" x14ac:dyDescent="0.25">
      <c r="A7" s="390" t="s">
        <v>31</v>
      </c>
      <c r="B7" s="69">
        <v>1</v>
      </c>
      <c r="C7" s="397" t="s">
        <v>38</v>
      </c>
      <c r="D7" s="399" t="s">
        <v>39</v>
      </c>
      <c r="E7" s="384" t="s">
        <v>40</v>
      </c>
      <c r="F7" s="385"/>
      <c r="G7" s="9">
        <v>6</v>
      </c>
      <c r="H7" s="16">
        <v>7</v>
      </c>
      <c r="I7" s="9">
        <v>8</v>
      </c>
      <c r="J7" s="90">
        <v>9</v>
      </c>
      <c r="K7" s="90">
        <v>10</v>
      </c>
      <c r="L7" s="82">
        <v>11</v>
      </c>
    </row>
    <row r="8" spans="1:14" ht="60.75" thickBot="1" x14ac:dyDescent="0.3">
      <c r="A8" s="391"/>
      <c r="B8" s="70" t="s">
        <v>27</v>
      </c>
      <c r="C8" s="398"/>
      <c r="D8" s="400"/>
      <c r="E8" s="386"/>
      <c r="F8" s="386"/>
      <c r="G8" s="137" t="s">
        <v>59</v>
      </c>
      <c r="H8" s="17" t="s">
        <v>63</v>
      </c>
      <c r="I8" s="71" t="s">
        <v>60</v>
      </c>
      <c r="J8" s="91" t="s">
        <v>51</v>
      </c>
      <c r="K8" s="91" t="s">
        <v>26</v>
      </c>
      <c r="L8" s="83" t="s">
        <v>65</v>
      </c>
    </row>
    <row r="9" spans="1:14" x14ac:dyDescent="0.25">
      <c r="A9" s="39" t="s">
        <v>19</v>
      </c>
      <c r="B9" s="75">
        <f>C42*C36</f>
        <v>40595.4</v>
      </c>
      <c r="C9" s="127">
        <v>33515.012837806229</v>
      </c>
      <c r="D9" s="128">
        <v>4408.800965150539</v>
      </c>
      <c r="E9" s="129">
        <v>21227.450871120396</v>
      </c>
      <c r="F9" s="114">
        <v>59151.264674077167</v>
      </c>
      <c r="G9" s="10">
        <f>(B9+F9)-1</f>
        <v>99745.664674077168</v>
      </c>
      <c r="H9" s="3">
        <v>90781</v>
      </c>
      <c r="I9" s="94">
        <f>G9-H9</f>
        <v>8964.6646740771685</v>
      </c>
      <c r="J9" s="86"/>
      <c r="K9" s="86">
        <v>18010.207491500001</v>
      </c>
      <c r="L9" s="92">
        <f>G9+J9+K9</f>
        <v>117755.87216557717</v>
      </c>
    </row>
    <row r="10" spans="1:14" x14ac:dyDescent="0.25">
      <c r="A10" s="37" t="s">
        <v>14</v>
      </c>
      <c r="B10" s="76">
        <f>(C43*C36)</f>
        <v>15150.6</v>
      </c>
      <c r="C10" s="130">
        <v>18717.35658014927</v>
      </c>
      <c r="D10" s="131">
        <v>13899.044734545581</v>
      </c>
      <c r="E10" s="132">
        <v>16791.492326068572</v>
      </c>
      <c r="F10" s="114">
        <v>49406.893640763417</v>
      </c>
      <c r="G10" s="153">
        <f>(B10+F10)+1</f>
        <v>64558.493640763416</v>
      </c>
      <c r="H10" s="4">
        <v>60058</v>
      </c>
      <c r="I10" s="11">
        <f t="shared" ref="I10:I31" si="0">SUM(G10-H10)</f>
        <v>4500.4936407634159</v>
      </c>
      <c r="J10" s="87"/>
      <c r="K10" s="86">
        <v>12202.6041427</v>
      </c>
      <c r="L10" s="92">
        <f t="shared" ref="L10:L28" si="1">G10+J10+K10</f>
        <v>76761.09778346341</v>
      </c>
    </row>
    <row r="11" spans="1:14" ht="14.45" x14ac:dyDescent="0.3">
      <c r="A11" s="37" t="s">
        <v>8</v>
      </c>
      <c r="B11" s="76">
        <f>C44*C36</f>
        <v>91673.1</v>
      </c>
      <c r="C11" s="130">
        <v>92630.934050577154</v>
      </c>
      <c r="D11" s="131">
        <v>5434.4132742641086</v>
      </c>
      <c r="E11" s="132">
        <v>35599.689219850843</v>
      </c>
      <c r="F11" s="114">
        <v>133665.03654469212</v>
      </c>
      <c r="G11" s="154">
        <f t="shared" ref="G11:G30" si="2">B11+F11</f>
        <v>225338.13654469213</v>
      </c>
      <c r="H11" s="4">
        <v>204427</v>
      </c>
      <c r="I11" s="95">
        <f t="shared" si="0"/>
        <v>20911.136544692126</v>
      </c>
      <c r="J11" s="87"/>
      <c r="K11" s="86">
        <v>34245.375</v>
      </c>
      <c r="L11" s="92">
        <f>(G11+J11+K11)-1</f>
        <v>259582.51154469213</v>
      </c>
    </row>
    <row r="12" spans="1:14" ht="14.45" x14ac:dyDescent="0.3">
      <c r="A12" s="37" t="s">
        <v>11</v>
      </c>
      <c r="B12" s="76">
        <f>C45*C36</f>
        <v>64689.3</v>
      </c>
      <c r="C12" s="130">
        <v>58580.493797798386</v>
      </c>
      <c r="D12" s="131">
        <v>4388.8215045833913</v>
      </c>
      <c r="E12" s="132">
        <v>20288.137202221329</v>
      </c>
      <c r="F12" s="114">
        <v>83257.452504603105</v>
      </c>
      <c r="G12" s="153">
        <f>(B12+F12)-1</f>
        <v>147945.75250460312</v>
      </c>
      <c r="H12" s="4">
        <v>133285</v>
      </c>
      <c r="I12" s="11">
        <f>SUM(G12-H12)</f>
        <v>14660.752504603122</v>
      </c>
      <c r="J12" s="87"/>
      <c r="K12" s="86">
        <v>26195.294999999998</v>
      </c>
      <c r="L12" s="92">
        <f t="shared" si="1"/>
        <v>174141.04750460311</v>
      </c>
    </row>
    <row r="13" spans="1:14" x14ac:dyDescent="0.25">
      <c r="A13" s="37" t="s">
        <v>6</v>
      </c>
      <c r="B13" s="76">
        <f>C46*C36</f>
        <v>1325.25</v>
      </c>
      <c r="C13" s="130">
        <v>1773.9906626021452</v>
      </c>
      <c r="D13" s="131">
        <v>2390.8754478686456</v>
      </c>
      <c r="E13" s="132">
        <v>1018.5826360597074</v>
      </c>
      <c r="F13" s="114">
        <v>5184.4487465304983</v>
      </c>
      <c r="G13" s="154">
        <f>(B13+F13)-1</f>
        <v>6508.6987465304983</v>
      </c>
      <c r="H13" s="4">
        <v>5981</v>
      </c>
      <c r="I13" s="11">
        <f t="shared" si="0"/>
        <v>527.69874653049828</v>
      </c>
      <c r="J13" s="87"/>
      <c r="K13" s="86">
        <v>503.16477199999997</v>
      </c>
      <c r="L13" s="92">
        <f t="shared" si="1"/>
        <v>7011.8635185304984</v>
      </c>
    </row>
    <row r="14" spans="1:14" x14ac:dyDescent="0.25">
      <c r="A14" s="37" t="s">
        <v>18</v>
      </c>
      <c r="B14" s="76">
        <f>C47*C36</f>
        <v>4830.75</v>
      </c>
      <c r="C14" s="130">
        <v>6841.2496328964517</v>
      </c>
      <c r="D14" s="131">
        <v>2154.4518311574006</v>
      </c>
      <c r="E14" s="132">
        <v>6364.6374882730252</v>
      </c>
      <c r="F14" s="114">
        <v>15360.338952326878</v>
      </c>
      <c r="G14" s="154">
        <f t="shared" si="2"/>
        <v>20191.088952326878</v>
      </c>
      <c r="H14" s="4">
        <v>18616</v>
      </c>
      <c r="I14" s="11">
        <f>SUM(G14-H14)</f>
        <v>1575.0889523268779</v>
      </c>
      <c r="J14" s="87"/>
      <c r="K14" s="86">
        <v>3001.7223680000002</v>
      </c>
      <c r="L14" s="92">
        <f t="shared" si="1"/>
        <v>23192.811320326877</v>
      </c>
    </row>
    <row r="15" spans="1:14" x14ac:dyDescent="0.25">
      <c r="A15" s="37" t="s">
        <v>15</v>
      </c>
      <c r="B15" s="76">
        <f>C48*C36</f>
        <v>5001.75</v>
      </c>
      <c r="C15" s="130">
        <v>3683.8882709439777</v>
      </c>
      <c r="D15" s="131">
        <v>4638.5647616727347</v>
      </c>
      <c r="E15" s="132">
        <v>2988.4321979712772</v>
      </c>
      <c r="F15" s="114">
        <v>11310.885230587988</v>
      </c>
      <c r="G15" s="154">
        <f t="shared" si="2"/>
        <v>16312.635230587988</v>
      </c>
      <c r="H15" s="4">
        <v>14898</v>
      </c>
      <c r="I15" s="11">
        <f t="shared" si="0"/>
        <v>1414.6352305879882</v>
      </c>
      <c r="J15" s="87"/>
      <c r="K15" s="86">
        <v>600.04748299999994</v>
      </c>
      <c r="L15" s="92">
        <f t="shared" si="1"/>
        <v>16912.682713587987</v>
      </c>
    </row>
    <row r="16" spans="1:14" ht="14.45" x14ac:dyDescent="0.3">
      <c r="A16" s="37" t="s">
        <v>13</v>
      </c>
      <c r="B16" s="76">
        <f>C49*C36</f>
        <v>0</v>
      </c>
      <c r="C16" s="130">
        <v>1154.759015788205</v>
      </c>
      <c r="D16" s="131">
        <v>356.30038011412967</v>
      </c>
      <c r="E16" s="132">
        <v>1214.3368786238168</v>
      </c>
      <c r="F16" s="114">
        <v>2725.3962745261515</v>
      </c>
      <c r="G16" s="154">
        <f t="shared" si="2"/>
        <v>2725.3962745261515</v>
      </c>
      <c r="H16" s="4">
        <f>3014-400</f>
        <v>2614</v>
      </c>
      <c r="I16" s="11">
        <f t="shared" si="0"/>
        <v>111.3962745261515</v>
      </c>
      <c r="J16" s="87">
        <v>400</v>
      </c>
      <c r="K16" s="86">
        <v>1137.3</v>
      </c>
      <c r="L16" s="92">
        <f>(G16+J16+K16)-1</f>
        <v>4261.6962745261517</v>
      </c>
      <c r="M16" s="155"/>
      <c r="N16" s="155"/>
    </row>
    <row r="17" spans="1:14" x14ac:dyDescent="0.25">
      <c r="A17" s="37" t="s">
        <v>20</v>
      </c>
      <c r="B17" s="76">
        <f>C50*C36</f>
        <v>7053.7500000000009</v>
      </c>
      <c r="C17" s="130">
        <v>10666.445125569773</v>
      </c>
      <c r="D17" s="131">
        <v>2448.4839194755632</v>
      </c>
      <c r="E17" s="132">
        <v>7421.3211308697655</v>
      </c>
      <c r="F17" s="114">
        <v>20535.250175915102</v>
      </c>
      <c r="G17" s="154">
        <f t="shared" si="2"/>
        <v>27589.000175915102</v>
      </c>
      <c r="H17" s="4">
        <v>25509</v>
      </c>
      <c r="I17" s="11">
        <f t="shared" si="0"/>
        <v>2080.0001759151019</v>
      </c>
      <c r="J17" s="87"/>
      <c r="K17" s="86">
        <v>4820.3026393999999</v>
      </c>
      <c r="L17" s="92">
        <f t="shared" si="1"/>
        <v>32409.302815315103</v>
      </c>
    </row>
    <row r="18" spans="1:14" x14ac:dyDescent="0.25">
      <c r="A18" s="37" t="s">
        <v>9</v>
      </c>
      <c r="B18" s="76">
        <f>C51*C36</f>
        <v>4086.9000000000005</v>
      </c>
      <c r="C18" s="130">
        <v>2817.1439746041169</v>
      </c>
      <c r="D18" s="131">
        <v>1298.6649368645847</v>
      </c>
      <c r="E18" s="132">
        <v>1716.94380954191</v>
      </c>
      <c r="F18" s="114">
        <v>5832.7527210106118</v>
      </c>
      <c r="G18" s="154">
        <f t="shared" si="2"/>
        <v>9919.6527210106124</v>
      </c>
      <c r="H18" s="4">
        <v>8925</v>
      </c>
      <c r="I18" s="11">
        <f t="shared" si="0"/>
        <v>994.65272101061237</v>
      </c>
      <c r="J18" s="87"/>
      <c r="K18" s="86">
        <v>721.13967119999995</v>
      </c>
      <c r="L18" s="92">
        <f t="shared" si="1"/>
        <v>10640.792392210613</v>
      </c>
    </row>
    <row r="19" spans="1:14" ht="14.45" x14ac:dyDescent="0.3">
      <c r="A19" s="37" t="s">
        <v>3</v>
      </c>
      <c r="B19" s="76">
        <f>C52*C36</f>
        <v>1120.0500000000002</v>
      </c>
      <c r="C19" s="130">
        <v>1212.361959677874</v>
      </c>
      <c r="D19" s="131">
        <v>712.60076022825933</v>
      </c>
      <c r="E19" s="132">
        <v>727.96907639488211</v>
      </c>
      <c r="F19" s="114">
        <v>2652.9317963010153</v>
      </c>
      <c r="G19" s="154">
        <f t="shared" si="2"/>
        <v>3772.9817963010155</v>
      </c>
      <c r="H19" s="4">
        <f>5490-2100</f>
        <v>3390</v>
      </c>
      <c r="I19" s="11">
        <f>SUM(G19-H19)</f>
        <v>382.98179630101549</v>
      </c>
      <c r="J19" s="87">
        <v>2100</v>
      </c>
      <c r="K19" s="86">
        <v>289.94075999999995</v>
      </c>
      <c r="L19" s="92">
        <f t="shared" si="1"/>
        <v>6162.922556301015</v>
      </c>
      <c r="M19" s="155"/>
      <c r="N19" s="155"/>
    </row>
    <row r="20" spans="1:14" x14ac:dyDescent="0.25">
      <c r="A20" s="37" t="s">
        <v>0</v>
      </c>
      <c r="B20" s="76">
        <f>C53*C36</f>
        <v>1607.4</v>
      </c>
      <c r="C20" s="130">
        <v>1476.9754831710402</v>
      </c>
      <c r="D20" s="131">
        <v>1764.8523500980252</v>
      </c>
      <c r="E20" s="132">
        <v>1474.7527365131602</v>
      </c>
      <c r="F20" s="114">
        <v>4716.5805697822252</v>
      </c>
      <c r="G20" s="154">
        <f t="shared" si="2"/>
        <v>6323.9805697822248</v>
      </c>
      <c r="H20" s="4">
        <f>7821-1900</f>
        <v>5921</v>
      </c>
      <c r="I20" s="11">
        <f>SUM(G20-H20)</f>
        <v>402.98056978222485</v>
      </c>
      <c r="J20" s="87">
        <v>1900</v>
      </c>
      <c r="K20" s="86">
        <v>897.62294369999995</v>
      </c>
      <c r="L20" s="92">
        <f t="shared" si="1"/>
        <v>9121.603513482225</v>
      </c>
      <c r="M20" s="155"/>
      <c r="N20" s="155"/>
    </row>
    <row r="21" spans="1:14" x14ac:dyDescent="0.25">
      <c r="A21" s="37" t="s">
        <v>7</v>
      </c>
      <c r="B21" s="76">
        <f>C54*C36</f>
        <v>0</v>
      </c>
      <c r="C21" s="130">
        <v>623.73187680532044</v>
      </c>
      <c r="D21" s="131">
        <v>1022.2823990190448</v>
      </c>
      <c r="E21" s="132">
        <v>905.12499481862312</v>
      </c>
      <c r="F21" s="114">
        <v>2551.1392706429883</v>
      </c>
      <c r="G21" s="154">
        <f t="shared" si="2"/>
        <v>2551.1392706429883</v>
      </c>
      <c r="H21" s="4">
        <f>2963-500</f>
        <v>2463</v>
      </c>
      <c r="I21" s="11">
        <f t="shared" si="0"/>
        <v>88.139270642988322</v>
      </c>
      <c r="J21" s="87">
        <v>500</v>
      </c>
      <c r="K21" s="86">
        <v>1546.8589999999997</v>
      </c>
      <c r="L21" s="92">
        <f t="shared" si="1"/>
        <v>4597.9982706429882</v>
      </c>
      <c r="M21" s="155"/>
      <c r="N21" s="155"/>
    </row>
    <row r="22" spans="1:14" ht="14.45" x14ac:dyDescent="0.3">
      <c r="A22" s="37" t="s">
        <v>12</v>
      </c>
      <c r="B22" s="76">
        <f>C55*C36</f>
        <v>1231.2</v>
      </c>
      <c r="C22" s="130">
        <v>1097.2560259002603</v>
      </c>
      <c r="D22" s="131">
        <v>1142.1591624219295</v>
      </c>
      <c r="E22" s="132">
        <v>598.29196642673253</v>
      </c>
      <c r="F22" s="114">
        <v>2836.7071547489222</v>
      </c>
      <c r="G22" s="154">
        <f>(B22+F22)</f>
        <v>4067.907154748922</v>
      </c>
      <c r="H22" s="4">
        <v>3776</v>
      </c>
      <c r="I22" s="11">
        <f t="shared" si="0"/>
        <v>291.90715474892204</v>
      </c>
      <c r="J22" s="87">
        <v>700</v>
      </c>
      <c r="K22" s="86">
        <v>600</v>
      </c>
      <c r="L22" s="92">
        <f t="shared" si="1"/>
        <v>5367.907154748922</v>
      </c>
      <c r="M22" s="155"/>
      <c r="N22" s="155"/>
    </row>
    <row r="23" spans="1:14" x14ac:dyDescent="0.25">
      <c r="A23" s="37" t="s">
        <v>5</v>
      </c>
      <c r="B23" s="76">
        <f>C56*C36</f>
        <v>3556.8</v>
      </c>
      <c r="C23" s="130">
        <v>3011.5539102317493</v>
      </c>
      <c r="D23" s="131">
        <v>962.34401731760249</v>
      </c>
      <c r="E23" s="132">
        <v>2478.4134613439674</v>
      </c>
      <c r="F23" s="114">
        <v>6452.3113888933194</v>
      </c>
      <c r="G23" s="154">
        <f t="shared" si="2"/>
        <v>10009.11138889332</v>
      </c>
      <c r="H23" s="4">
        <v>9108</v>
      </c>
      <c r="I23" s="11">
        <f t="shared" si="0"/>
        <v>901.1113888933196</v>
      </c>
      <c r="J23" s="87"/>
      <c r="K23" s="86">
        <v>1319.9903964</v>
      </c>
      <c r="L23" s="92">
        <f t="shared" si="1"/>
        <v>11329.10178529332</v>
      </c>
    </row>
    <row r="24" spans="1:14" ht="14.45" x14ac:dyDescent="0.3">
      <c r="A24" s="36" t="s">
        <v>21</v>
      </c>
      <c r="B24" s="76">
        <f>C57*C36</f>
        <v>5001.75</v>
      </c>
      <c r="C24" s="130">
        <v>5696.3911230892827</v>
      </c>
      <c r="D24" s="131">
        <v>5547.6302174779439</v>
      </c>
      <c r="E24" s="132">
        <v>6310.5529325540465</v>
      </c>
      <c r="F24" s="114">
        <v>17554.574273121274</v>
      </c>
      <c r="G24" s="154">
        <f>(B24+F24)+1</f>
        <v>22557.324273121274</v>
      </c>
      <c r="H24" s="4">
        <v>20700</v>
      </c>
      <c r="I24" s="11">
        <f>SUM(G24-H24)</f>
        <v>1857.324273121274</v>
      </c>
      <c r="J24" s="87"/>
      <c r="K24" s="86">
        <v>2859.8901814000001</v>
      </c>
      <c r="L24" s="92">
        <f t="shared" si="1"/>
        <v>25417.214454521272</v>
      </c>
    </row>
    <row r="25" spans="1:14" x14ac:dyDescent="0.25">
      <c r="A25" s="37" t="s">
        <v>2</v>
      </c>
      <c r="B25" s="76">
        <f>C58*C36</f>
        <v>2898.4500000000003</v>
      </c>
      <c r="C25" s="130">
        <v>2367.120975466079</v>
      </c>
      <c r="D25" s="131">
        <v>2195.4107522916956</v>
      </c>
      <c r="E25" s="132">
        <v>1257.1366161011761</v>
      </c>
      <c r="F25" s="114">
        <v>5818.6683438589498</v>
      </c>
      <c r="G25" s="154">
        <f>(B25+F25)</f>
        <v>8717.1183438589505</v>
      </c>
      <c r="H25" s="4">
        <v>7911</v>
      </c>
      <c r="I25" s="11">
        <f>SUM(G25-H25)</f>
        <v>806.11834385895054</v>
      </c>
      <c r="J25" s="87"/>
      <c r="K25" s="86">
        <v>473.13119219999999</v>
      </c>
      <c r="L25" s="92">
        <f t="shared" si="1"/>
        <v>9190.249536058951</v>
      </c>
    </row>
    <row r="26" spans="1:14" ht="14.45" x14ac:dyDescent="0.3">
      <c r="A26" s="37" t="s">
        <v>4</v>
      </c>
      <c r="B26" s="76">
        <f>C59*C36</f>
        <v>239.40000000000003</v>
      </c>
      <c r="C26" s="130">
        <v>1026.0524380347263</v>
      </c>
      <c r="D26" s="131">
        <v>1341.9537680934043</v>
      </c>
      <c r="E26" s="132">
        <v>1054.2851272213447</v>
      </c>
      <c r="F26" s="114">
        <v>3422.2913333494753</v>
      </c>
      <c r="G26" s="154">
        <f>(B26+F26)-1</f>
        <v>3660.6913333494754</v>
      </c>
      <c r="H26" s="4">
        <v>3455</v>
      </c>
      <c r="I26" s="11">
        <f t="shared" si="0"/>
        <v>205.69133334947537</v>
      </c>
      <c r="J26" s="87"/>
      <c r="K26" s="86">
        <v>486.60728599999999</v>
      </c>
      <c r="L26" s="92">
        <f>(G26+J26+K26)+1</f>
        <v>4148.2986193494753</v>
      </c>
    </row>
    <row r="27" spans="1:14" ht="14.45" x14ac:dyDescent="0.3">
      <c r="A27" s="37" t="s">
        <v>22</v>
      </c>
      <c r="B27" s="76">
        <f>C60*C36</f>
        <v>4420.3500000000004</v>
      </c>
      <c r="C27" s="130">
        <v>4475.0287034286484</v>
      </c>
      <c r="D27" s="131">
        <v>5744.0949130548934</v>
      </c>
      <c r="E27" s="132">
        <v>2969.9321736413758</v>
      </c>
      <c r="F27" s="114">
        <v>13189.055790124919</v>
      </c>
      <c r="G27" s="11">
        <f t="shared" si="2"/>
        <v>17609.405790124918</v>
      </c>
      <c r="H27" s="4">
        <v>16208</v>
      </c>
      <c r="I27" s="11">
        <f>SUM(G27-H27)</f>
        <v>1401.405790124918</v>
      </c>
      <c r="J27" s="87"/>
      <c r="K27" s="86">
        <v>1033.8818578</v>
      </c>
      <c r="L27" s="92">
        <f t="shared" si="1"/>
        <v>18643.287647924917</v>
      </c>
    </row>
    <row r="28" spans="1:14" x14ac:dyDescent="0.25">
      <c r="A28" s="37" t="s">
        <v>1</v>
      </c>
      <c r="B28" s="76">
        <f>C61*C36</f>
        <v>4018.5000000000005</v>
      </c>
      <c r="C28" s="130">
        <v>3333.7703776145845</v>
      </c>
      <c r="D28" s="131">
        <v>3065.847197057135</v>
      </c>
      <c r="E28" s="132">
        <v>3097.6629473622779</v>
      </c>
      <c r="F28" s="114">
        <v>9498.2805220339978</v>
      </c>
      <c r="G28" s="11">
        <f t="shared" si="2"/>
        <v>13516.780522033998</v>
      </c>
      <c r="H28" s="4">
        <v>12438</v>
      </c>
      <c r="I28" s="11">
        <f t="shared" si="0"/>
        <v>1078.7805220339978</v>
      </c>
      <c r="J28" s="87"/>
      <c r="K28" s="86">
        <v>1816.7517150000001</v>
      </c>
      <c r="L28" s="92">
        <f t="shared" si="1"/>
        <v>15333.532237033998</v>
      </c>
    </row>
    <row r="29" spans="1:14" ht="14.45" x14ac:dyDescent="0.3">
      <c r="A29" s="37" t="s">
        <v>16</v>
      </c>
      <c r="B29" s="76">
        <f>(C62*C36)</f>
        <v>4283.55</v>
      </c>
      <c r="C29" s="130">
        <v>3927.8007364767941</v>
      </c>
      <c r="D29" s="131">
        <v>3869.3555298375572</v>
      </c>
      <c r="E29" s="132">
        <v>4658.464679891541</v>
      </c>
      <c r="F29" s="114">
        <v>12454.620946205892</v>
      </c>
      <c r="G29" s="11">
        <f>(B29+F29)+1</f>
        <v>16739.170946205893</v>
      </c>
      <c r="H29" s="4">
        <v>15581</v>
      </c>
      <c r="I29" s="11">
        <f>SUM(G29-H29)</f>
        <v>1158.1709462058934</v>
      </c>
      <c r="J29" s="87"/>
      <c r="K29" s="86">
        <v>3016.3498189000002</v>
      </c>
      <c r="L29" s="92">
        <f>(G29+J29+K29)-1</f>
        <v>19754.520765105895</v>
      </c>
    </row>
    <row r="30" spans="1:14" x14ac:dyDescent="0.25">
      <c r="A30" s="37" t="s">
        <v>17</v>
      </c>
      <c r="B30" s="76">
        <f>C63*C36</f>
        <v>0</v>
      </c>
      <c r="C30" s="130">
        <v>1665.08509681074</v>
      </c>
      <c r="D30" s="131">
        <v>939.03464665593037</v>
      </c>
      <c r="E30" s="132">
        <v>1774.3902187788617</v>
      </c>
      <c r="F30" s="114">
        <v>4377.5099622455318</v>
      </c>
      <c r="G30" s="147">
        <f t="shared" si="2"/>
        <v>4377.5099622455318</v>
      </c>
      <c r="H30" s="4">
        <v>4210</v>
      </c>
      <c r="I30" s="11">
        <f>SUM(G30-H30)</f>
        <v>167.50996224553182</v>
      </c>
      <c r="J30" s="87"/>
      <c r="K30" s="86">
        <v>794.97209879999991</v>
      </c>
      <c r="L30" s="92">
        <f>(G30+J30+K30)+1</f>
        <v>5173.4820610455317</v>
      </c>
    </row>
    <row r="31" spans="1:14" ht="15.75" thickBot="1" x14ac:dyDescent="0.3">
      <c r="A31" s="38" t="s">
        <v>10</v>
      </c>
      <c r="B31" s="89">
        <f>C64*C36</f>
        <v>282.15000000000003</v>
      </c>
      <c r="C31" s="133">
        <v>1275.3651795571993</v>
      </c>
      <c r="D31" s="134">
        <v>1611.6764857498947</v>
      </c>
      <c r="E31" s="135">
        <v>737.32721835134657</v>
      </c>
      <c r="F31" s="136">
        <v>3624.3688836584406</v>
      </c>
      <c r="G31" s="12">
        <f>(B31+F31)-1</f>
        <v>3905.5188836584407</v>
      </c>
      <c r="H31" s="5">
        <f>4788-1000</f>
        <v>3788</v>
      </c>
      <c r="I31" s="12">
        <f t="shared" si="0"/>
        <v>117.5188836584407</v>
      </c>
      <c r="J31" s="88">
        <v>1000</v>
      </c>
      <c r="K31" s="88">
        <v>197.74286000000001</v>
      </c>
      <c r="L31" s="85">
        <f>(G31+J31+K31)+1</f>
        <v>5104.2617436584405</v>
      </c>
      <c r="M31" s="155"/>
      <c r="N31" s="155"/>
    </row>
    <row r="32" spans="1:14" ht="15.6" thickTop="1" thickBot="1" x14ac:dyDescent="0.35">
      <c r="A32" s="96" t="s">
        <v>23</v>
      </c>
      <c r="B32" s="98">
        <f>C65*C36</f>
        <v>263066.40000000002</v>
      </c>
      <c r="C32" s="106">
        <v>261567.76783499998</v>
      </c>
      <c r="D32" s="107">
        <v>71336.663954999982</v>
      </c>
      <c r="E32" s="108">
        <v>142673.32790999999</v>
      </c>
      <c r="F32" s="108">
        <v>475577.7597</v>
      </c>
      <c r="G32" s="103">
        <f>SUM(G9:G31)+1</f>
        <v>738644.15970000008</v>
      </c>
      <c r="H32" s="99">
        <f>SUM(H9:H31)</f>
        <v>674043</v>
      </c>
      <c r="I32" s="104">
        <f>SUM(I9:I31)+1</f>
        <v>64601.159700000018</v>
      </c>
      <c r="J32" s="100">
        <f>SUM(J16:J31)</f>
        <v>6600</v>
      </c>
      <c r="K32" s="100">
        <v>116770.89867800001</v>
      </c>
      <c r="L32" s="105">
        <f>SUM(L9:L31)+1</f>
        <v>862015.05837799993</v>
      </c>
    </row>
    <row r="33" spans="1:15" ht="14.45" x14ac:dyDescent="0.3">
      <c r="A33" s="7"/>
      <c r="B33" s="7"/>
      <c r="C33" s="7"/>
      <c r="D33" s="7"/>
      <c r="E33" s="7"/>
      <c r="F33" s="74"/>
      <c r="G33" s="74"/>
      <c r="H33" s="74"/>
      <c r="I33" s="7"/>
      <c r="J33" s="7"/>
      <c r="K33" s="7"/>
      <c r="L33" s="74"/>
      <c r="O33" s="155"/>
    </row>
    <row r="34" spans="1:15" ht="14.45" x14ac:dyDescent="0.3">
      <c r="A34" s="7"/>
      <c r="B34" s="7"/>
      <c r="C34" s="7"/>
      <c r="D34" s="7"/>
      <c r="E34" s="7"/>
      <c r="F34" s="7"/>
      <c r="G34" s="74"/>
      <c r="I34" s="74"/>
      <c r="J34" s="7"/>
      <c r="K34" s="7"/>
      <c r="L34" s="112"/>
      <c r="O34" s="155"/>
    </row>
    <row r="35" spans="1:15" ht="14.45" x14ac:dyDescent="0.3">
      <c r="A35" s="7"/>
      <c r="B35" s="7"/>
      <c r="C35" s="7"/>
      <c r="D35" s="7"/>
      <c r="E35" s="7"/>
      <c r="F35" s="7"/>
      <c r="G35" s="74"/>
      <c r="I35" s="74"/>
      <c r="J35" s="7"/>
      <c r="K35" s="7"/>
      <c r="L35" s="7"/>
    </row>
    <row r="36" spans="1:15" ht="15.75" x14ac:dyDescent="0.25">
      <c r="A36" s="7"/>
      <c r="B36" s="138" t="s">
        <v>49</v>
      </c>
      <c r="C36" s="109">
        <v>8.5500000000000007</v>
      </c>
      <c r="D36" s="32" t="s">
        <v>44</v>
      </c>
      <c r="E36" s="7"/>
      <c r="F36" s="7"/>
      <c r="G36" s="7"/>
      <c r="I36" s="7"/>
      <c r="J36" s="7"/>
      <c r="K36" s="7"/>
      <c r="L36" s="7"/>
    </row>
    <row r="37" spans="1:15" ht="14.45" x14ac:dyDescent="0.3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</row>
    <row r="38" spans="1:15" thickBot="1" x14ac:dyDescent="0.35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</row>
    <row r="39" spans="1:15" ht="14.45" customHeight="1" x14ac:dyDescent="0.25">
      <c r="A39" s="401" t="s">
        <v>31</v>
      </c>
      <c r="B39" s="387" t="s">
        <v>41</v>
      </c>
      <c r="C39" s="387" t="s">
        <v>53</v>
      </c>
      <c r="D39" s="387" t="s">
        <v>57</v>
      </c>
      <c r="E39" s="407" t="s">
        <v>42</v>
      </c>
      <c r="F39" s="148"/>
      <c r="G39" s="7"/>
      <c r="I39" s="7"/>
      <c r="J39" s="7"/>
      <c r="K39" s="7"/>
      <c r="L39" s="7"/>
    </row>
    <row r="40" spans="1:15" x14ac:dyDescent="0.25">
      <c r="A40" s="402"/>
      <c r="B40" s="388"/>
      <c r="C40" s="388"/>
      <c r="D40" s="388"/>
      <c r="E40" s="408"/>
      <c r="F40" s="148"/>
      <c r="G40" s="7"/>
      <c r="I40" s="7"/>
      <c r="J40" s="7"/>
      <c r="K40" s="7"/>
      <c r="L40" s="7"/>
    </row>
    <row r="41" spans="1:15" ht="19.899999999999999" customHeight="1" thickBot="1" x14ac:dyDescent="0.3">
      <c r="A41" s="403"/>
      <c r="B41" s="389"/>
      <c r="C41" s="389"/>
      <c r="D41" s="389"/>
      <c r="E41" s="408"/>
      <c r="F41" s="148"/>
      <c r="G41" s="7"/>
      <c r="I41" s="7"/>
      <c r="J41" s="7"/>
      <c r="K41" s="7"/>
      <c r="L41" s="7"/>
    </row>
    <row r="42" spans="1:15" ht="15.75" thickTop="1" x14ac:dyDescent="0.25">
      <c r="A42" s="64" t="s">
        <v>32</v>
      </c>
      <c r="B42" s="50">
        <v>13.24</v>
      </c>
      <c r="C42" s="51">
        <v>4748</v>
      </c>
      <c r="D42" s="75">
        <v>37237</v>
      </c>
      <c r="E42" s="151">
        <v>1079730</v>
      </c>
      <c r="F42" s="148"/>
      <c r="G42" s="7"/>
      <c r="I42" s="7"/>
      <c r="J42" s="7"/>
      <c r="K42" s="7"/>
      <c r="L42" s="7"/>
    </row>
    <row r="43" spans="1:15" x14ac:dyDescent="0.25">
      <c r="A43" s="65" t="s">
        <v>14</v>
      </c>
      <c r="B43" s="47">
        <v>41.74</v>
      </c>
      <c r="C43" s="48">
        <v>1772</v>
      </c>
      <c r="D43" s="76">
        <v>20796</v>
      </c>
      <c r="E43" s="151">
        <v>854045</v>
      </c>
      <c r="F43" s="148"/>
      <c r="G43" s="7"/>
      <c r="I43" s="7"/>
      <c r="J43" s="7"/>
      <c r="K43" s="7"/>
      <c r="L43" s="7"/>
    </row>
    <row r="44" spans="1:15" x14ac:dyDescent="0.25">
      <c r="A44" s="65" t="s">
        <v>8</v>
      </c>
      <c r="B44" s="47">
        <v>16.32</v>
      </c>
      <c r="C44" s="48">
        <v>10722</v>
      </c>
      <c r="D44" s="76">
        <v>102918</v>
      </c>
      <c r="E44" s="151">
        <v>1810771</v>
      </c>
      <c r="F44" s="148"/>
      <c r="G44" s="7"/>
      <c r="I44" s="7"/>
      <c r="J44" s="7"/>
      <c r="K44" s="7"/>
      <c r="L44" s="7"/>
    </row>
    <row r="45" spans="1:15" x14ac:dyDescent="0.25">
      <c r="A45" s="65" t="s">
        <v>11</v>
      </c>
      <c r="B45" s="47">
        <v>13.18</v>
      </c>
      <c r="C45" s="48">
        <v>7566</v>
      </c>
      <c r="D45" s="76">
        <v>65085</v>
      </c>
      <c r="E45" s="151">
        <v>1031952</v>
      </c>
      <c r="F45" s="148"/>
      <c r="G45" s="7"/>
      <c r="I45" s="7"/>
      <c r="J45" s="7"/>
      <c r="K45" s="7"/>
      <c r="L45" s="7"/>
    </row>
    <row r="46" spans="1:15" x14ac:dyDescent="0.25">
      <c r="A46" s="65" t="s">
        <v>6</v>
      </c>
      <c r="B46" s="47">
        <v>7.18</v>
      </c>
      <c r="C46" s="48">
        <v>155</v>
      </c>
      <c r="D46" s="76">
        <v>1971</v>
      </c>
      <c r="E46" s="151">
        <v>51810</v>
      </c>
      <c r="F46" s="148"/>
      <c r="G46" s="7"/>
      <c r="I46" s="7"/>
      <c r="J46" s="7"/>
      <c r="K46" s="7"/>
      <c r="L46" s="7"/>
    </row>
    <row r="47" spans="1:15" x14ac:dyDescent="0.25">
      <c r="A47" s="65" t="s">
        <v>18</v>
      </c>
      <c r="B47" s="47">
        <v>6.47</v>
      </c>
      <c r="C47" s="48">
        <v>565</v>
      </c>
      <c r="D47" s="76">
        <v>7601</v>
      </c>
      <c r="E47" s="151">
        <v>323736</v>
      </c>
      <c r="F47" s="148"/>
      <c r="G47" s="7"/>
      <c r="I47" s="7"/>
      <c r="J47" s="7"/>
      <c r="K47" s="7"/>
      <c r="L47" s="7"/>
    </row>
    <row r="48" spans="1:15" x14ac:dyDescent="0.25">
      <c r="A48" s="65" t="s">
        <v>15</v>
      </c>
      <c r="B48" s="47">
        <v>13.93</v>
      </c>
      <c r="C48" s="48">
        <v>585</v>
      </c>
      <c r="D48" s="76">
        <v>4093</v>
      </c>
      <c r="E48" s="151">
        <v>152006</v>
      </c>
      <c r="F48" s="148"/>
      <c r="G48" s="7"/>
      <c r="I48" s="7"/>
      <c r="J48" s="7"/>
      <c r="K48" s="7"/>
      <c r="L48" s="7"/>
    </row>
    <row r="49" spans="1:12" x14ac:dyDescent="0.25">
      <c r="A49" s="65" t="s">
        <v>13</v>
      </c>
      <c r="B49" s="47">
        <v>1.07</v>
      </c>
      <c r="C49" s="48">
        <v>0</v>
      </c>
      <c r="D49" s="76">
        <v>1283</v>
      </c>
      <c r="E49" s="151">
        <v>61767</v>
      </c>
      <c r="F49" s="148"/>
      <c r="G49" s="7"/>
      <c r="I49" s="7"/>
      <c r="J49" s="7"/>
      <c r="K49" s="7"/>
      <c r="L49" s="7"/>
    </row>
    <row r="50" spans="1:12" x14ac:dyDescent="0.25">
      <c r="A50" s="65" t="s">
        <v>33</v>
      </c>
      <c r="B50" s="47">
        <v>7.35</v>
      </c>
      <c r="C50" s="48">
        <v>825</v>
      </c>
      <c r="D50" s="76">
        <v>11851</v>
      </c>
      <c r="E50" s="151">
        <v>377484</v>
      </c>
      <c r="F50" s="148"/>
      <c r="G50" s="7"/>
      <c r="I50" s="7"/>
      <c r="J50" s="7"/>
      <c r="K50" s="7"/>
      <c r="L50" s="7"/>
    </row>
    <row r="51" spans="1:12" x14ac:dyDescent="0.25">
      <c r="A51" s="65" t="s">
        <v>9</v>
      </c>
      <c r="B51" s="47">
        <v>3.9</v>
      </c>
      <c r="C51" s="48">
        <v>478</v>
      </c>
      <c r="D51" s="76">
        <v>3130</v>
      </c>
      <c r="E51" s="151">
        <v>87332</v>
      </c>
      <c r="F51" s="148"/>
      <c r="G51" s="7"/>
      <c r="I51" s="7"/>
      <c r="J51" s="7"/>
      <c r="K51" s="7"/>
      <c r="L51" s="7"/>
    </row>
    <row r="52" spans="1:12" x14ac:dyDescent="0.25">
      <c r="A52" s="65" t="s">
        <v>3</v>
      </c>
      <c r="B52" s="47">
        <v>2.14</v>
      </c>
      <c r="C52" s="48">
        <v>131</v>
      </c>
      <c r="D52" s="76">
        <v>1347</v>
      </c>
      <c r="E52" s="151">
        <v>37028</v>
      </c>
      <c r="F52" s="148"/>
      <c r="G52" s="7"/>
      <c r="I52" s="7"/>
      <c r="J52" s="7"/>
      <c r="K52" s="7"/>
      <c r="L52" s="7"/>
    </row>
    <row r="53" spans="1:12" x14ac:dyDescent="0.25">
      <c r="A53" s="65" t="s">
        <v>0</v>
      </c>
      <c r="B53" s="47">
        <v>5.3</v>
      </c>
      <c r="C53" s="48">
        <v>188</v>
      </c>
      <c r="D53" s="76">
        <v>1641</v>
      </c>
      <c r="E53" s="151">
        <v>75013</v>
      </c>
      <c r="F53" s="148"/>
      <c r="L53" s="7"/>
    </row>
    <row r="54" spans="1:12" x14ac:dyDescent="0.25">
      <c r="A54" s="65" t="s">
        <v>7</v>
      </c>
      <c r="B54" s="47">
        <v>3.07</v>
      </c>
      <c r="C54" s="48">
        <v>0</v>
      </c>
      <c r="D54" s="76">
        <v>693</v>
      </c>
      <c r="E54" s="151">
        <v>46039</v>
      </c>
      <c r="F54" s="148"/>
      <c r="L54" s="7"/>
    </row>
    <row r="55" spans="1:12" x14ac:dyDescent="0.25">
      <c r="A55" s="65" t="s">
        <v>12</v>
      </c>
      <c r="B55" s="47">
        <v>3.43</v>
      </c>
      <c r="C55" s="48">
        <v>144</v>
      </c>
      <c r="D55" s="76">
        <v>1218</v>
      </c>
      <c r="E55" s="151">
        <v>30432</v>
      </c>
      <c r="F55" s="149"/>
      <c r="L55" s="7"/>
    </row>
    <row r="56" spans="1:12" x14ac:dyDescent="0.25">
      <c r="A56" s="65" t="s">
        <v>5</v>
      </c>
      <c r="B56" s="47">
        <v>2.89</v>
      </c>
      <c r="C56" s="48">
        <v>416</v>
      </c>
      <c r="D56" s="76">
        <v>3346</v>
      </c>
      <c r="E56" s="151">
        <v>126064</v>
      </c>
      <c r="F56" s="148"/>
      <c r="L56" s="7"/>
    </row>
    <row r="57" spans="1:12" x14ac:dyDescent="0.25">
      <c r="A57" s="66" t="s">
        <v>34</v>
      </c>
      <c r="B57" s="47">
        <v>16.66</v>
      </c>
      <c r="C57" s="48">
        <v>585</v>
      </c>
      <c r="D57" s="76">
        <v>6329</v>
      </c>
      <c r="E57" s="151">
        <v>320985</v>
      </c>
      <c r="F57" s="148"/>
      <c r="L57" s="7"/>
    </row>
    <row r="58" spans="1:12" x14ac:dyDescent="0.25">
      <c r="A58" s="65" t="s">
        <v>2</v>
      </c>
      <c r="B58" s="47">
        <v>6.59</v>
      </c>
      <c r="C58" s="48">
        <v>339</v>
      </c>
      <c r="D58" s="76">
        <v>2630</v>
      </c>
      <c r="E58" s="151">
        <v>63944</v>
      </c>
      <c r="F58" s="148"/>
      <c r="L58" s="7"/>
    </row>
    <row r="59" spans="1:12" x14ac:dyDescent="0.25">
      <c r="A59" s="65" t="s">
        <v>4</v>
      </c>
      <c r="B59" s="47">
        <v>4.03</v>
      </c>
      <c r="C59" s="48">
        <v>28</v>
      </c>
      <c r="D59" s="76">
        <v>1140</v>
      </c>
      <c r="E59" s="151">
        <v>53626</v>
      </c>
      <c r="F59" s="148"/>
      <c r="L59" s="7"/>
    </row>
    <row r="60" spans="1:12" x14ac:dyDescent="0.25">
      <c r="A60" s="65" t="s">
        <v>35</v>
      </c>
      <c r="B60" s="47">
        <v>17.25</v>
      </c>
      <c r="C60" s="48">
        <v>517</v>
      </c>
      <c r="D60" s="76">
        <v>4972</v>
      </c>
      <c r="E60" s="151">
        <v>151065</v>
      </c>
      <c r="F60" s="148"/>
      <c r="L60" s="7"/>
    </row>
    <row r="61" spans="1:12" x14ac:dyDescent="0.25">
      <c r="A61" s="65" t="s">
        <v>1</v>
      </c>
      <c r="B61" s="47">
        <v>9.2100000000000009</v>
      </c>
      <c r="C61" s="48">
        <v>470</v>
      </c>
      <c r="D61" s="76">
        <v>3704</v>
      </c>
      <c r="E61" s="151">
        <v>157562</v>
      </c>
      <c r="F61" s="148"/>
      <c r="L61" s="7"/>
    </row>
    <row r="62" spans="1:12" x14ac:dyDescent="0.25">
      <c r="A62" s="65" t="s">
        <v>16</v>
      </c>
      <c r="B62" s="47">
        <v>11.62</v>
      </c>
      <c r="C62" s="48">
        <v>501</v>
      </c>
      <c r="D62" s="76">
        <v>4364</v>
      </c>
      <c r="E62" s="151">
        <v>236901</v>
      </c>
      <c r="F62" s="148"/>
      <c r="L62" s="7"/>
    </row>
    <row r="63" spans="1:12" x14ac:dyDescent="0.25">
      <c r="A63" s="65" t="s">
        <v>17</v>
      </c>
      <c r="B63" s="47">
        <v>2.82</v>
      </c>
      <c r="C63" s="48">
        <v>0</v>
      </c>
      <c r="D63" s="76">
        <v>1850</v>
      </c>
      <c r="E63" s="151">
        <v>90254</v>
      </c>
      <c r="F63" s="148"/>
    </row>
    <row r="64" spans="1:12" ht="15.75" thickBot="1" x14ac:dyDescent="0.3">
      <c r="A64" s="67" t="s">
        <v>10</v>
      </c>
      <c r="B64" s="57">
        <v>4.84</v>
      </c>
      <c r="C64" s="58">
        <v>33</v>
      </c>
      <c r="D64" s="89">
        <v>1417</v>
      </c>
      <c r="E64" s="152">
        <v>37504</v>
      </c>
      <c r="F64" s="148"/>
    </row>
    <row r="65" spans="1:6" ht="16.5" thickTop="1" thickBot="1" x14ac:dyDescent="0.3">
      <c r="A65" s="55" t="s">
        <v>36</v>
      </c>
      <c r="B65" s="42">
        <f t="shared" ref="B65" si="3">SUM(B42:B64)</f>
        <v>214.23000000000002</v>
      </c>
      <c r="C65" s="44">
        <f>SUM(C42:C64)</f>
        <v>30768</v>
      </c>
      <c r="D65" s="150">
        <v>290616</v>
      </c>
      <c r="E65" s="111">
        <v>7257050</v>
      </c>
      <c r="F65" s="148"/>
    </row>
  </sheetData>
  <mergeCells count="10">
    <mergeCell ref="F6:F8"/>
    <mergeCell ref="A7:A8"/>
    <mergeCell ref="C7:C8"/>
    <mergeCell ref="D7:D8"/>
    <mergeCell ref="E7:E8"/>
    <mergeCell ref="E39:E41"/>
    <mergeCell ref="A39:A41"/>
    <mergeCell ref="B39:B41"/>
    <mergeCell ref="C39:C41"/>
    <mergeCell ref="D39:D4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9" width="12.28515625" customWidth="1"/>
    <col min="10" max="10" width="11.7109375" customWidth="1"/>
    <col min="11" max="11" width="13.7109375" style="7" customWidth="1"/>
    <col min="12" max="12" width="12" customWidth="1"/>
    <col min="13" max="13" width="9.140625" customWidth="1"/>
    <col min="14" max="14" width="10.42578125" bestFit="1" customWidth="1"/>
    <col min="16" max="16" width="9.7109375" bestFit="1" customWidth="1"/>
  </cols>
  <sheetData>
    <row r="1" spans="1:16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70</v>
      </c>
      <c r="K1" s="122"/>
      <c r="L1" s="123">
        <v>2018</v>
      </c>
      <c r="M1" s="124"/>
      <c r="N1" s="125"/>
      <c r="O1" s="7"/>
      <c r="P1" s="7"/>
    </row>
    <row r="2" spans="1:16" ht="18.75" x14ac:dyDescent="0.3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L3+L4</f>
        <v>1127301</v>
      </c>
      <c r="M2" s="126"/>
      <c r="N2" s="126"/>
      <c r="O2" s="7"/>
      <c r="P2" s="74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20" t="s">
        <v>30</v>
      </c>
      <c r="L3" s="33">
        <v>411799</v>
      </c>
      <c r="M3" s="126"/>
      <c r="N3" s="74"/>
      <c r="O3" s="7"/>
      <c r="P3" s="7"/>
    </row>
    <row r="4" spans="1:16" ht="15.75" x14ac:dyDescent="0.25">
      <c r="A4" s="7"/>
      <c r="B4" s="7"/>
      <c r="C4" s="7"/>
      <c r="D4" s="7"/>
      <c r="E4" s="7"/>
      <c r="F4" s="7"/>
      <c r="G4" s="7"/>
      <c r="H4" s="7"/>
      <c r="I4" s="7"/>
      <c r="J4" s="7" t="s">
        <v>37</v>
      </c>
      <c r="L4" s="190">
        <v>715502</v>
      </c>
      <c r="N4" s="7"/>
      <c r="O4" s="7"/>
      <c r="P4" s="7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4" t="s">
        <v>69</v>
      </c>
      <c r="M5" s="7"/>
      <c r="N5" s="7"/>
      <c r="O5" s="7"/>
      <c r="P5" s="7"/>
    </row>
    <row r="6" spans="1:16" ht="16.5" thickBot="1" x14ac:dyDescent="0.3">
      <c r="A6" s="8"/>
      <c r="B6" s="8"/>
      <c r="C6" s="8"/>
      <c r="D6" s="8"/>
      <c r="E6" s="180">
        <v>0.44</v>
      </c>
      <c r="F6" s="181">
        <v>0.12</v>
      </c>
      <c r="G6" s="21">
        <v>0.25</v>
      </c>
      <c r="H6" s="156">
        <v>0.19</v>
      </c>
      <c r="I6" s="384" t="s">
        <v>43</v>
      </c>
      <c r="J6" s="13"/>
      <c r="K6" s="8"/>
      <c r="L6" s="8"/>
      <c r="M6" s="7"/>
      <c r="N6" s="73" t="s">
        <v>47</v>
      </c>
      <c r="O6" s="7"/>
      <c r="P6" s="7"/>
    </row>
    <row r="7" spans="1:16" x14ac:dyDescent="0.25">
      <c r="A7" s="390" t="s">
        <v>31</v>
      </c>
      <c r="B7" s="79">
        <v>1</v>
      </c>
      <c r="C7" s="69">
        <v>2</v>
      </c>
      <c r="D7" s="16">
        <v>3</v>
      </c>
      <c r="E7" s="397" t="s">
        <v>38</v>
      </c>
      <c r="F7" s="399" t="s">
        <v>39</v>
      </c>
      <c r="G7" s="399" t="s">
        <v>40</v>
      </c>
      <c r="H7" s="183"/>
      <c r="I7" s="385"/>
      <c r="J7" s="9">
        <v>4</v>
      </c>
      <c r="K7" s="16">
        <v>5</v>
      </c>
      <c r="L7" s="9">
        <v>6</v>
      </c>
      <c r="M7" s="90">
        <v>7</v>
      </c>
      <c r="N7" s="193">
        <v>8</v>
      </c>
      <c r="O7" s="7"/>
      <c r="P7" s="7"/>
    </row>
    <row r="8" spans="1:16" ht="60.75" thickBot="1" x14ac:dyDescent="0.3">
      <c r="A8" s="391"/>
      <c r="B8" s="80" t="s">
        <v>26</v>
      </c>
      <c r="C8" s="70" t="s">
        <v>74</v>
      </c>
      <c r="D8" s="81" t="s">
        <v>24</v>
      </c>
      <c r="E8" s="398"/>
      <c r="F8" s="400"/>
      <c r="G8" s="400"/>
      <c r="H8" s="157" t="s">
        <v>66</v>
      </c>
      <c r="I8" s="386"/>
      <c r="J8" s="179" t="s">
        <v>25</v>
      </c>
      <c r="K8" s="17" t="s">
        <v>73</v>
      </c>
      <c r="L8" s="71" t="s">
        <v>48</v>
      </c>
      <c r="M8" s="91" t="s">
        <v>68</v>
      </c>
      <c r="N8" s="194" t="s">
        <v>72</v>
      </c>
      <c r="O8" s="186" t="s">
        <v>75</v>
      </c>
      <c r="P8" s="7" t="s">
        <v>76</v>
      </c>
    </row>
    <row r="9" spans="1:16" x14ac:dyDescent="0.25">
      <c r="A9" s="39" t="s">
        <v>19</v>
      </c>
      <c r="B9" s="77"/>
      <c r="C9" s="75">
        <f>E42*E36</f>
        <v>63547.232000000004</v>
      </c>
      <c r="D9" s="78">
        <f>SUM(B9:C9)</f>
        <v>63547.232000000004</v>
      </c>
      <c r="E9" s="23">
        <f>(L4*E6/B65)*B42</f>
        <v>40257.430009660769</v>
      </c>
      <c r="F9" s="1">
        <f>(L4*F6/C65)*C42</f>
        <v>5306.3976921999711</v>
      </c>
      <c r="G9" s="158">
        <f>(L4*G6/D65)*D42</f>
        <v>26581.95298068989</v>
      </c>
      <c r="H9" s="158">
        <f>(L4*H6/F65)*F42</f>
        <v>18039.066873499574</v>
      </c>
      <c r="I9" s="28">
        <f>E9+F9+G9+H9</f>
        <v>90184.847556050197</v>
      </c>
      <c r="J9" s="10">
        <f t="shared" ref="J9:J31" si="0">D9+I9</f>
        <v>153732.07955605019</v>
      </c>
      <c r="K9" s="3">
        <f>99746+18010</f>
        <v>117756</v>
      </c>
      <c r="L9" s="94">
        <f>SUM(J9-K9)</f>
        <v>35976.079556050187</v>
      </c>
      <c r="M9" s="86"/>
      <c r="N9" s="195">
        <f>J9+M9-B9</f>
        <v>153732.07955605019</v>
      </c>
      <c r="O9" s="115">
        <f>L9/B42*1000</f>
        <v>970.69989628326016</v>
      </c>
      <c r="P9" s="115">
        <f>N9/B42*1000</f>
        <v>4147.9704159530029</v>
      </c>
    </row>
    <row r="10" spans="1:16" x14ac:dyDescent="0.25">
      <c r="A10" s="37" t="s">
        <v>14</v>
      </c>
      <c r="B10" s="34"/>
      <c r="C10" s="76">
        <f>(E43*E36)</f>
        <v>23716.448</v>
      </c>
      <c r="D10" s="78">
        <f t="shared" ref="D10:D31" si="1">SUM(B10:C10)</f>
        <v>23716.448</v>
      </c>
      <c r="E10" s="25">
        <f>(L4*E6/B65)*B43</f>
        <v>22474.94696265423</v>
      </c>
      <c r="F10" s="2">
        <f>(L4*F6/C65)*C43</f>
        <v>16728.779431452174</v>
      </c>
      <c r="G10" s="159">
        <f>(L4*G6/D65)*D43</f>
        <v>20982.933512857839</v>
      </c>
      <c r="H10" s="161">
        <f>(L4*H6/F65)*F43</f>
        <v>16911.813826904719</v>
      </c>
      <c r="I10" s="28">
        <f>E10+F10+G10+H10</f>
        <v>77098.473733868959</v>
      </c>
      <c r="J10" s="11">
        <f t="shared" si="0"/>
        <v>100814.92173386896</v>
      </c>
      <c r="K10" s="4">
        <f>64558+12203</f>
        <v>76761</v>
      </c>
      <c r="L10" s="11">
        <f t="shared" ref="L10:L31" si="2">SUM(J10-K10)</f>
        <v>24053.921733868963</v>
      </c>
      <c r="M10" s="87"/>
      <c r="N10" s="196">
        <f t="shared" ref="N10:N31" si="3">J10+M10-B10</f>
        <v>100814.92173386896</v>
      </c>
      <c r="O10" s="115">
        <f t="shared" ref="O10:O31" si="4">L10/B43*1000</f>
        <v>1162.5306526445779</v>
      </c>
      <c r="P10" s="115">
        <f t="shared" ref="P10:P31" si="5">N10/B43*1000</f>
        <v>4872.4045108437949</v>
      </c>
    </row>
    <row r="11" spans="1:16" ht="14.45" x14ac:dyDescent="0.3">
      <c r="A11" s="37" t="s">
        <v>8</v>
      </c>
      <c r="B11" s="34"/>
      <c r="C11" s="76">
        <f>E44*E36</f>
        <v>143503.24799999999</v>
      </c>
      <c r="D11" s="78">
        <f t="shared" si="1"/>
        <v>143503.24799999999</v>
      </c>
      <c r="E11" s="25">
        <f>(L4*E6/B65)*B44</f>
        <v>111405.82791216981</v>
      </c>
      <c r="F11" s="2">
        <f>(L4*F6/C65)*C44</f>
        <v>6540.8164906875782</v>
      </c>
      <c r="G11" s="159">
        <f>(L4*G6/D65)*D44</f>
        <v>44707.184682537445</v>
      </c>
      <c r="H11" s="161">
        <f>(L4*H6/F65)*F44</f>
        <v>39652.061429161186</v>
      </c>
      <c r="I11" s="28">
        <f>E11+F11+G11+H11</f>
        <v>202305.89051455603</v>
      </c>
      <c r="J11" s="11">
        <f>(D11+I11)</f>
        <v>345809.13851455599</v>
      </c>
      <c r="K11" s="4">
        <f>225338+34245</f>
        <v>259583</v>
      </c>
      <c r="L11" s="95">
        <f t="shared" si="2"/>
        <v>86226.138514555991</v>
      </c>
      <c r="M11" s="87"/>
      <c r="N11" s="196">
        <f t="shared" si="3"/>
        <v>345809.13851455599</v>
      </c>
      <c r="O11" s="115">
        <f t="shared" si="4"/>
        <v>840.71388819121898</v>
      </c>
      <c r="P11" s="115">
        <f t="shared" si="5"/>
        <v>3371.675346026891</v>
      </c>
    </row>
    <row r="12" spans="1:16" ht="14.45" x14ac:dyDescent="0.3">
      <c r="A12" s="37" t="s">
        <v>11</v>
      </c>
      <c r="B12" s="34"/>
      <c r="C12" s="76">
        <f>E45*E36</f>
        <v>101263.344</v>
      </c>
      <c r="D12" s="78">
        <f t="shared" si="1"/>
        <v>101263.344</v>
      </c>
      <c r="E12" s="25">
        <f>(L4*E6/B65)*B45</f>
        <v>70300.061254795888</v>
      </c>
      <c r="F12" s="2">
        <f>(L4*F6/C65)*C45</f>
        <v>5282.3505727489137</v>
      </c>
      <c r="G12" s="159">
        <f>(L4*G6/D65)*D45</f>
        <v>25369.570670313253</v>
      </c>
      <c r="H12" s="161">
        <f>(L4*H6/F65)*F45</f>
        <v>27170.743482648071</v>
      </c>
      <c r="I12" s="28">
        <f>E12+F12+G12+H12</f>
        <v>128122.72598050613</v>
      </c>
      <c r="J12" s="11">
        <f>(D12+I12)</f>
        <v>229386.06998050614</v>
      </c>
      <c r="K12" s="4">
        <f>147946+26195</f>
        <v>174141</v>
      </c>
      <c r="L12" s="11">
        <f t="shared" si="2"/>
        <v>55245.069980506145</v>
      </c>
      <c r="M12" s="87"/>
      <c r="N12" s="196">
        <f t="shared" si="3"/>
        <v>229386.06998050614</v>
      </c>
      <c r="O12" s="115">
        <f t="shared" si="4"/>
        <v>853.60120489039161</v>
      </c>
      <c r="P12" s="115">
        <f t="shared" si="5"/>
        <v>3544.2841467939761</v>
      </c>
    </row>
    <row r="13" spans="1:16" x14ac:dyDescent="0.25">
      <c r="A13" s="37" t="s">
        <v>6</v>
      </c>
      <c r="B13" s="34"/>
      <c r="C13" s="76">
        <f>E46*E36</f>
        <v>2074.52</v>
      </c>
      <c r="D13" s="78">
        <f t="shared" si="1"/>
        <v>2074.52</v>
      </c>
      <c r="E13" s="25">
        <f>(L4*E6/B65)*B46</f>
        <v>2171.350779486047</v>
      </c>
      <c r="F13" s="2">
        <f>(L4*F6/C65)*C46</f>
        <v>2877.6386276431867</v>
      </c>
      <c r="G13" s="159">
        <f>(L4*G6/D65)*D46</f>
        <v>1333.2893569449579</v>
      </c>
      <c r="H13" s="161">
        <f>(L4*H6/F65)*F46</f>
        <v>711.84817376098829</v>
      </c>
      <c r="I13" s="28">
        <f t="shared" ref="I13:I30" si="6">E13+F13+G13+H13</f>
        <v>7094.1269378351799</v>
      </c>
      <c r="J13" s="11">
        <f t="shared" si="0"/>
        <v>9168.6469378351794</v>
      </c>
      <c r="K13" s="4">
        <f>6509+503</f>
        <v>7012</v>
      </c>
      <c r="L13" s="11">
        <f t="shared" si="2"/>
        <v>2156.6469378351794</v>
      </c>
      <c r="M13" s="87"/>
      <c r="N13" s="196">
        <f t="shared" si="3"/>
        <v>9168.6469378351794</v>
      </c>
      <c r="O13" s="115">
        <f t="shared" si="4"/>
        <v>1078.8629003677736</v>
      </c>
      <c r="P13" s="115">
        <f t="shared" si="5"/>
        <v>4586.6167773062425</v>
      </c>
    </row>
    <row r="14" spans="1:16" x14ac:dyDescent="0.25">
      <c r="A14" s="37" t="s">
        <v>18</v>
      </c>
      <c r="B14" s="34"/>
      <c r="C14" s="76">
        <f>E47*E36</f>
        <v>7561.96</v>
      </c>
      <c r="D14" s="78">
        <f t="shared" si="1"/>
        <v>7561.96</v>
      </c>
      <c r="E14" s="25">
        <f>(L4*E6/B65)*B47</f>
        <v>8330.2096687736357</v>
      </c>
      <c r="F14" s="2">
        <f>(L4*F6/C65)*C47</f>
        <v>2593.0810474723421</v>
      </c>
      <c r="G14" s="159">
        <f>(L4*G6/D65)*D47</f>
        <v>7994.9908119597894</v>
      </c>
      <c r="H14" s="161">
        <f>(L4*H6/F65)*F47</f>
        <v>3828.6309743059437</v>
      </c>
      <c r="I14" s="28">
        <f t="shared" si="6"/>
        <v>22746.91250251171</v>
      </c>
      <c r="J14" s="11">
        <f t="shared" si="0"/>
        <v>30308.872502511709</v>
      </c>
      <c r="K14" s="4">
        <f>20191+3002</f>
        <v>23193</v>
      </c>
      <c r="L14" s="11">
        <f t="shared" si="2"/>
        <v>7115.8725025117092</v>
      </c>
      <c r="M14" s="87"/>
      <c r="N14" s="196">
        <f t="shared" si="3"/>
        <v>30308.872502511709</v>
      </c>
      <c r="O14" s="115">
        <f t="shared" si="4"/>
        <v>927.87488623180457</v>
      </c>
      <c r="P14" s="115">
        <f t="shared" si="5"/>
        <v>3952.1283743006534</v>
      </c>
    </row>
    <row r="15" spans="1:16" x14ac:dyDescent="0.25">
      <c r="A15" s="37" t="s">
        <v>15</v>
      </c>
      <c r="B15" s="34"/>
      <c r="C15" s="76">
        <f>E48*E36</f>
        <v>7829.64</v>
      </c>
      <c r="D15" s="78">
        <f t="shared" si="1"/>
        <v>7829.64</v>
      </c>
      <c r="E15" s="25">
        <f>(L4*E6/B65)*B48</f>
        <v>4458.9269383642941</v>
      </c>
      <c r="F15" s="2">
        <f>(L4*F6/C65)*C48</f>
        <v>5582.9395658871299</v>
      </c>
      <c r="G15" s="159">
        <f>(L4*G6/D65)*D48</f>
        <v>3749.9473727770492</v>
      </c>
      <c r="H15" s="161">
        <f>(L4*H6/F65)*F48</f>
        <v>689.8906049547179</v>
      </c>
      <c r="I15" s="28">
        <f t="shared" si="6"/>
        <v>14481.704481983192</v>
      </c>
      <c r="J15" s="11">
        <f t="shared" si="0"/>
        <v>22311.344481983193</v>
      </c>
      <c r="K15" s="4">
        <f>16313+600</f>
        <v>16913</v>
      </c>
      <c r="L15" s="11">
        <f t="shared" si="2"/>
        <v>5398.344481983193</v>
      </c>
      <c r="M15" s="87"/>
      <c r="N15" s="196">
        <f t="shared" si="3"/>
        <v>22311.344481983193</v>
      </c>
      <c r="O15" s="115">
        <f t="shared" si="4"/>
        <v>1315.0656472553455</v>
      </c>
      <c r="P15" s="115">
        <f t="shared" si="5"/>
        <v>5435.1630893990723</v>
      </c>
    </row>
    <row r="16" spans="1:16" ht="14.45" x14ac:dyDescent="0.3">
      <c r="A16" s="37" t="s">
        <v>13</v>
      </c>
      <c r="B16" s="34"/>
      <c r="C16" s="76">
        <f>E49*E36</f>
        <v>0</v>
      </c>
      <c r="D16" s="78">
        <f t="shared" si="1"/>
        <v>0</v>
      </c>
      <c r="E16" s="25">
        <f>(L4*E6/B65)*B49</f>
        <v>1389.2734602114328</v>
      </c>
      <c r="F16" s="2">
        <f>(L4*F6/C65)*C49</f>
        <v>428.840296877188</v>
      </c>
      <c r="G16" s="159">
        <f>(L4*G6/D65)*D49</f>
        <v>1518.876236070374</v>
      </c>
      <c r="H16" s="161">
        <f>(L4*H6/F65)*F49</f>
        <v>1387.7201117771285</v>
      </c>
      <c r="I16" s="28">
        <f t="shared" si="6"/>
        <v>4724.7101049361236</v>
      </c>
      <c r="J16" s="11">
        <f t="shared" si="0"/>
        <v>4724.7101049361236</v>
      </c>
      <c r="K16" s="4">
        <f>3125+1137</f>
        <v>4262</v>
      </c>
      <c r="L16" s="11">
        <f t="shared" si="2"/>
        <v>462.71010493612357</v>
      </c>
      <c r="M16" s="87"/>
      <c r="N16" s="196">
        <f t="shared" si="3"/>
        <v>4724.7101049361236</v>
      </c>
      <c r="O16" s="115">
        <f t="shared" si="4"/>
        <v>361.77490612675808</v>
      </c>
      <c r="P16" s="115">
        <f t="shared" si="5"/>
        <v>3694.0657583550615</v>
      </c>
    </row>
    <row r="17" spans="1:17" x14ac:dyDescent="0.25">
      <c r="A17" s="37" t="s">
        <v>20</v>
      </c>
      <c r="B17" s="34"/>
      <c r="C17" s="76">
        <f>E50*E36</f>
        <v>11041.800000000001</v>
      </c>
      <c r="D17" s="78">
        <f t="shared" si="1"/>
        <v>11041.800000000001</v>
      </c>
      <c r="E17" s="25">
        <f>(L4*E6/B65)*B50</f>
        <v>12876.034087057331</v>
      </c>
      <c r="F17" s="2">
        <f>(L4*F6/C65)*C50</f>
        <v>2945.7721327545155</v>
      </c>
      <c r="G17" s="159">
        <f>(L4*G6/D65)*D50</f>
        <v>9278.8990816104888</v>
      </c>
      <c r="H17" s="161">
        <f>(L4*H6/F65)*F50</f>
        <v>6326.1120839301639</v>
      </c>
      <c r="I17" s="28">
        <f>E17+F17+G17+H17</f>
        <v>31426.8173853525</v>
      </c>
      <c r="J17" s="11">
        <f t="shared" si="0"/>
        <v>42468.617385352503</v>
      </c>
      <c r="K17" s="4">
        <f>27589+4820</f>
        <v>32409</v>
      </c>
      <c r="L17" s="11">
        <f t="shared" si="2"/>
        <v>10059.617385352503</v>
      </c>
      <c r="M17" s="87"/>
      <c r="N17" s="196">
        <f t="shared" si="3"/>
        <v>42468.617385352503</v>
      </c>
      <c r="O17" s="115">
        <f t="shared" si="4"/>
        <v>848.62640335350966</v>
      </c>
      <c r="P17" s="115">
        <f t="shared" si="5"/>
        <v>3582.6402383459172</v>
      </c>
    </row>
    <row r="18" spans="1:17" x14ac:dyDescent="0.25">
      <c r="A18" s="37" t="s">
        <v>9</v>
      </c>
      <c r="B18" s="34"/>
      <c r="C18" s="76">
        <f>E51*E36</f>
        <v>6397.5520000000006</v>
      </c>
      <c r="D18" s="78">
        <f t="shared" si="1"/>
        <v>6397.5520000000006</v>
      </c>
      <c r="E18" s="25">
        <f>(L4*E6/B65)*B51</f>
        <v>3413.98474233349</v>
      </c>
      <c r="F18" s="2">
        <f>(L4*F6/C65)*C51</f>
        <v>1563.0627643187227</v>
      </c>
      <c r="G18" s="159">
        <f>(L4*G6/D65)*D51</f>
        <v>2153.4899390006317</v>
      </c>
      <c r="H18" s="161">
        <f>(L4*H6/F65)*F51</f>
        <v>1517.1922758104695</v>
      </c>
      <c r="I18" s="28">
        <f>E18+F18+G18+H18</f>
        <v>8647.7297214633145</v>
      </c>
      <c r="J18" s="11">
        <f>(D18+I18)</f>
        <v>15045.281721463314</v>
      </c>
      <c r="K18" s="4">
        <f>9920+721</f>
        <v>10641</v>
      </c>
      <c r="L18" s="11">
        <f t="shared" si="2"/>
        <v>4404.2817214633142</v>
      </c>
      <c r="M18" s="87"/>
      <c r="N18" s="196">
        <f t="shared" si="3"/>
        <v>15045.281721463314</v>
      </c>
      <c r="O18" s="115">
        <f t="shared" si="4"/>
        <v>1401.2986705260307</v>
      </c>
      <c r="P18" s="115">
        <f t="shared" si="5"/>
        <v>4786.9175060335074</v>
      </c>
    </row>
    <row r="19" spans="1:17" ht="14.45" x14ac:dyDescent="0.3">
      <c r="A19" s="37" t="s">
        <v>3</v>
      </c>
      <c r="B19" s="34"/>
      <c r="C19" s="76">
        <f>E52*E36</f>
        <v>1753.3040000000001</v>
      </c>
      <c r="D19" s="78">
        <f t="shared" si="1"/>
        <v>1753.3040000000001</v>
      </c>
      <c r="E19" s="25">
        <f>(L4*E6/B65)*B52</f>
        <v>1453.3603516519916</v>
      </c>
      <c r="F19" s="2">
        <f>(L4*F6/C65)*C52</f>
        <v>857.68059375437599</v>
      </c>
      <c r="G19" s="159">
        <f>(L4*G6/D65)*D52</f>
        <v>915.15660677265976</v>
      </c>
      <c r="H19" s="161">
        <f>(L4*H6/F65)*F52</f>
        <v>285.84585384764534</v>
      </c>
      <c r="I19" s="28">
        <f t="shared" si="6"/>
        <v>3512.0434060266725</v>
      </c>
      <c r="J19" s="11">
        <f>D19+I19</f>
        <v>5265.3474060266726</v>
      </c>
      <c r="K19" s="4">
        <f>5873+290</f>
        <v>6163</v>
      </c>
      <c r="L19" s="11">
        <f t="shared" si="2"/>
        <v>-897.65259397332738</v>
      </c>
      <c r="M19" s="87"/>
      <c r="N19" s="196">
        <f>J19+M19-B19</f>
        <v>5265.3474060266726</v>
      </c>
      <c r="O19" s="115">
        <f t="shared" si="4"/>
        <v>-670.89132583955711</v>
      </c>
      <c r="P19" s="115">
        <f t="shared" si="5"/>
        <v>3935.2372242351812</v>
      </c>
    </row>
    <row r="20" spans="1:17" x14ac:dyDescent="0.25">
      <c r="A20" s="37" t="s">
        <v>0</v>
      </c>
      <c r="B20" s="34"/>
      <c r="C20" s="76">
        <f>E53*E36</f>
        <v>2516.192</v>
      </c>
      <c r="D20" s="78">
        <f t="shared" si="1"/>
        <v>2516.192</v>
      </c>
      <c r="E20" s="25">
        <f>(L4*E6/B65)*B53</f>
        <v>1768.3637163598223</v>
      </c>
      <c r="F20" s="2">
        <f>(L4*F6/C65)*C53</f>
        <v>2124.1622181767257</v>
      </c>
      <c r="G20" s="159">
        <f>(L4*G6/D65)*D53</f>
        <v>1825.4195922819247</v>
      </c>
      <c r="H20" s="161">
        <f>(L4*H6/F65)*F53</f>
        <v>1203.1772546750499</v>
      </c>
      <c r="I20" s="28">
        <f t="shared" si="6"/>
        <v>6921.1227814935228</v>
      </c>
      <c r="J20" s="11">
        <f t="shared" si="0"/>
        <v>9437.3147814935219</v>
      </c>
      <c r="K20" s="4">
        <f>8224+898</f>
        <v>9122</v>
      </c>
      <c r="L20" s="11">
        <f t="shared" si="2"/>
        <v>315.31478149352188</v>
      </c>
      <c r="M20" s="87"/>
      <c r="N20" s="196">
        <f t="shared" si="3"/>
        <v>9437.3147814935219</v>
      </c>
      <c r="O20" s="115">
        <f t="shared" si="4"/>
        <v>193.68229821469401</v>
      </c>
      <c r="P20" s="115">
        <f t="shared" si="5"/>
        <v>5796.8764014087974</v>
      </c>
    </row>
    <row r="21" spans="1:17" x14ac:dyDescent="0.25">
      <c r="A21" s="37" t="s">
        <v>7</v>
      </c>
      <c r="B21" s="34"/>
      <c r="C21" s="76">
        <f>E54*E36</f>
        <v>0</v>
      </c>
      <c r="D21" s="78">
        <f t="shared" si="1"/>
        <v>0</v>
      </c>
      <c r="E21" s="25">
        <f>(L4*E6/B65)*B54</f>
        <v>770.12891578569656</v>
      </c>
      <c r="F21" s="2">
        <f>(L4*F6/C65)*C54</f>
        <v>1230.4109452457635</v>
      </c>
      <c r="G21" s="159">
        <f>(L4*G6/D65)*D54</f>
        <v>1147.035165829079</v>
      </c>
      <c r="H21" s="161">
        <f>(L4*H6/F65)*F54</f>
        <v>2929.7220477459496</v>
      </c>
      <c r="I21" s="28">
        <f t="shared" si="6"/>
        <v>6077.2970746064884</v>
      </c>
      <c r="J21" s="11">
        <f>D21+I21</f>
        <v>6077.2970746064884</v>
      </c>
      <c r="K21" s="4">
        <f>3051+1547</f>
        <v>4598</v>
      </c>
      <c r="L21" s="11">
        <f t="shared" si="2"/>
        <v>1479.2970746064884</v>
      </c>
      <c r="M21" s="87"/>
      <c r="N21" s="196">
        <f t="shared" si="3"/>
        <v>6077.2970746064884</v>
      </c>
      <c r="O21" s="115">
        <f t="shared" si="4"/>
        <v>2086.4556764548497</v>
      </c>
      <c r="P21" s="115">
        <f t="shared" si="5"/>
        <v>8571.6460854816487</v>
      </c>
    </row>
    <row r="22" spans="1:17" ht="14.45" x14ac:dyDescent="0.3">
      <c r="A22" s="37" t="s">
        <v>12</v>
      </c>
      <c r="B22" s="34"/>
      <c r="C22" s="76">
        <f>E55*E36</f>
        <v>1927.296</v>
      </c>
      <c r="D22" s="78">
        <f t="shared" si="1"/>
        <v>1927.296</v>
      </c>
      <c r="E22" s="25">
        <f>(L4*E6/B65)*B55</f>
        <v>1321.9279132738966</v>
      </c>
      <c r="F22" s="2">
        <f>(L4*F6/C65)*C55</f>
        <v>1374.6936619521073</v>
      </c>
      <c r="G22" s="159">
        <f>(L4*G6/D65)*D55</f>
        <v>792.00047164388798</v>
      </c>
      <c r="H22" s="161">
        <f>(L4*H6/F65)*F55</f>
        <v>1412.0679060300426</v>
      </c>
      <c r="I22" s="28">
        <f>E22+F22+G22+H22</f>
        <v>4900.6899528999347</v>
      </c>
      <c r="J22" s="11">
        <f>(D22+I22)</f>
        <v>6827.985952899935</v>
      </c>
      <c r="K22" s="4">
        <f>4768+600</f>
        <v>5368</v>
      </c>
      <c r="L22" s="11">
        <f t="shared" si="2"/>
        <v>1459.985952899935</v>
      </c>
      <c r="M22" s="87"/>
      <c r="N22" s="196">
        <f>J22+M22-B22</f>
        <v>6827.985952899935</v>
      </c>
      <c r="O22" s="115">
        <f t="shared" si="4"/>
        <v>1199.65978052583</v>
      </c>
      <c r="P22" s="115">
        <f t="shared" si="5"/>
        <v>5610.506123993373</v>
      </c>
    </row>
    <row r="23" spans="1:17" x14ac:dyDescent="0.25">
      <c r="A23" s="37" t="s">
        <v>5</v>
      </c>
      <c r="B23" s="34"/>
      <c r="C23" s="76">
        <f>E56*E36</f>
        <v>5567.7440000000006</v>
      </c>
      <c r="D23" s="78">
        <f t="shared" si="1"/>
        <v>5567.7440000000006</v>
      </c>
      <c r="E23" s="25">
        <f>(L4*E6/B65)*B56</f>
        <v>3644.2630641199044</v>
      </c>
      <c r="F23" s="2">
        <f>(L4*F6/C65)*C56</f>
        <v>1158.2695868925919</v>
      </c>
      <c r="G23" s="159">
        <f>(L4*G6/D65)*D56</f>
        <v>3070.1047460487475</v>
      </c>
      <c r="H23" s="161">
        <f>(L4*H6/F65)*F56</f>
        <v>1735.1304541412751</v>
      </c>
      <c r="I23" s="28">
        <f>E23+F23+G23+H23</f>
        <v>9607.7678512025195</v>
      </c>
      <c r="J23" s="11">
        <f>(D23+I23)</f>
        <v>15175.51185120252</v>
      </c>
      <c r="K23" s="4">
        <f>10009+1320</f>
        <v>11329</v>
      </c>
      <c r="L23" s="11">
        <f t="shared" si="2"/>
        <v>3846.5118512025201</v>
      </c>
      <c r="M23" s="87"/>
      <c r="N23" s="196">
        <f t="shared" si="3"/>
        <v>15175.51185120252</v>
      </c>
      <c r="O23" s="115">
        <f t="shared" si="4"/>
        <v>1146.5012969307065</v>
      </c>
      <c r="P23" s="115">
        <f t="shared" si="5"/>
        <v>4523.2524146654314</v>
      </c>
    </row>
    <row r="24" spans="1:17" ht="14.45" x14ac:dyDescent="0.3">
      <c r="A24" s="36" t="s">
        <v>21</v>
      </c>
      <c r="B24" s="34"/>
      <c r="C24" s="76">
        <f>E57*E36</f>
        <v>7829.64</v>
      </c>
      <c r="D24" s="78">
        <f t="shared" si="1"/>
        <v>7829.64</v>
      </c>
      <c r="E24" s="25">
        <f>(L4*E6/B65)*B57</f>
        <v>6865.9871321317178</v>
      </c>
      <c r="F24" s="2">
        <f>(L4*F6/C65)*C57</f>
        <v>6677.0835009102357</v>
      </c>
      <c r="G24" s="159">
        <f>(L4*G6/D65)*D57</f>
        <v>7933.2273799536079</v>
      </c>
      <c r="H24" s="161">
        <f>(L4*H6/F65)*F57</f>
        <v>3059.6924849300135</v>
      </c>
      <c r="I24" s="28">
        <f t="shared" si="6"/>
        <v>24535.990497925573</v>
      </c>
      <c r="J24" s="11">
        <f t="shared" si="0"/>
        <v>32365.630497925573</v>
      </c>
      <c r="K24" s="4">
        <f>22557+2860</f>
        <v>25417</v>
      </c>
      <c r="L24" s="11">
        <f t="shared" si="2"/>
        <v>6948.6304979255729</v>
      </c>
      <c r="M24" s="87"/>
      <c r="N24" s="196">
        <f t="shared" si="3"/>
        <v>32365.630497925573</v>
      </c>
      <c r="O24" s="115">
        <f t="shared" si="4"/>
        <v>1099.2929121856625</v>
      </c>
      <c r="P24" s="115">
        <f t="shared" si="5"/>
        <v>5120.3338867150096</v>
      </c>
    </row>
    <row r="25" spans="1:17" x14ac:dyDescent="0.25">
      <c r="A25" s="37" t="s">
        <v>2</v>
      </c>
      <c r="B25" s="34"/>
      <c r="C25" s="76">
        <f>E58*E36</f>
        <v>4537.1760000000004</v>
      </c>
      <c r="D25" s="78">
        <f t="shared" si="1"/>
        <v>4537.1760000000004</v>
      </c>
      <c r="E25" s="25">
        <f>(L4*E6/B65)*B58</f>
        <v>2883.9101148251402</v>
      </c>
      <c r="F25" s="2">
        <f>(L4*F6/C65)*C58</f>
        <v>2641.1752863744568</v>
      </c>
      <c r="G25" s="159">
        <f>(L4*G6/D65)*D58</f>
        <v>1638.0779297741801</v>
      </c>
      <c r="H25" s="161">
        <f>(L4*H6/F65)*F58</f>
        <v>493.88722049423052</v>
      </c>
      <c r="I25" s="28">
        <f t="shared" si="6"/>
        <v>7657.0505514680081</v>
      </c>
      <c r="J25" s="11">
        <f t="shared" si="0"/>
        <v>12194.226551468008</v>
      </c>
      <c r="K25" s="4">
        <f>8717+473</f>
        <v>9190</v>
      </c>
      <c r="L25" s="11">
        <f t="shared" si="2"/>
        <v>3004.2265514680075</v>
      </c>
      <c r="M25" s="87"/>
      <c r="N25" s="196">
        <f t="shared" si="3"/>
        <v>12194.226551468008</v>
      </c>
      <c r="O25" s="115">
        <f t="shared" si="4"/>
        <v>1131.5354242817355</v>
      </c>
      <c r="P25" s="115">
        <f t="shared" si="5"/>
        <v>4592.9290212685528</v>
      </c>
    </row>
    <row r="26" spans="1:17" ht="14.45" x14ac:dyDescent="0.3">
      <c r="A26" s="37" t="s">
        <v>4</v>
      </c>
      <c r="B26" s="34"/>
      <c r="C26" s="76">
        <f>E59*E36</f>
        <v>374.75200000000001</v>
      </c>
      <c r="D26" s="78">
        <f t="shared" si="1"/>
        <v>374.75200000000001</v>
      </c>
      <c r="E26" s="25">
        <f>(L4*E6/B65)*B59</f>
        <v>1243.7201813464353</v>
      </c>
      <c r="F26" s="2">
        <f>(L4*F6/C65)*C59</f>
        <v>1615.1648564626801</v>
      </c>
      <c r="G26" s="159">
        <f>(L4*G6/D65)*D59</f>
        <v>1325.5781961662751</v>
      </c>
      <c r="H26" s="161">
        <f>(L4*H6/F65)*F59</f>
        <v>579.88382766808513</v>
      </c>
      <c r="I26" s="28">
        <f t="shared" si="6"/>
        <v>4764.3470616434761</v>
      </c>
      <c r="J26" s="11">
        <f>D26+I26</f>
        <v>5139.0990616434765</v>
      </c>
      <c r="K26" s="4">
        <f>3661+487</f>
        <v>4148</v>
      </c>
      <c r="L26" s="11">
        <f t="shared" si="2"/>
        <v>991.09906164347649</v>
      </c>
      <c r="M26" s="87"/>
      <c r="N26" s="196">
        <f>J26+M26-B26</f>
        <v>5139.0990616434765</v>
      </c>
      <c r="O26" s="115">
        <f t="shared" si="4"/>
        <v>865.58870012530701</v>
      </c>
      <c r="P26" s="115">
        <f t="shared" si="5"/>
        <v>4488.2961237060936</v>
      </c>
    </row>
    <row r="27" spans="1:17" ht="14.45" x14ac:dyDescent="0.3">
      <c r="A27" s="37" t="s">
        <v>22</v>
      </c>
      <c r="B27" s="34"/>
      <c r="C27" s="76">
        <f>E60*E36</f>
        <v>6919.5280000000002</v>
      </c>
      <c r="D27" s="78">
        <f t="shared" si="1"/>
        <v>6919.5280000000002</v>
      </c>
      <c r="E27" s="25">
        <f>(L4*E6/B65)*B60</f>
        <v>5400.6783769908088</v>
      </c>
      <c r="F27" s="2">
        <f>(L4*F6/C65)*C60</f>
        <v>6913.5468421789656</v>
      </c>
      <c r="G27" s="159">
        <f>(L4*G6/D65)*D60</f>
        <v>3649.3068385116753</v>
      </c>
      <c r="H27" s="161">
        <f>(L4*H6/F65)*F60</f>
        <v>939.82618057812215</v>
      </c>
      <c r="I27" s="28">
        <f t="shared" si="6"/>
        <v>16903.35823825957</v>
      </c>
      <c r="J27" s="11">
        <f t="shared" si="0"/>
        <v>23822.886238259569</v>
      </c>
      <c r="K27" s="4">
        <f>17609+1034</f>
        <v>18643</v>
      </c>
      <c r="L27" s="11">
        <f t="shared" si="2"/>
        <v>5179.8862382595689</v>
      </c>
      <c r="M27" s="87"/>
      <c r="N27" s="196">
        <f t="shared" si="3"/>
        <v>23822.886238259569</v>
      </c>
      <c r="O27" s="115">
        <f t="shared" si="4"/>
        <v>1041.811391444</v>
      </c>
      <c r="P27" s="115">
        <f t="shared" si="5"/>
        <v>4791.4091388293582</v>
      </c>
    </row>
    <row r="28" spans="1:17" x14ac:dyDescent="0.25">
      <c r="A28" s="37" t="s">
        <v>1</v>
      </c>
      <c r="B28" s="34"/>
      <c r="C28" s="76">
        <f>E61*E36</f>
        <v>6290.4800000000005</v>
      </c>
      <c r="D28" s="78">
        <f t="shared" si="1"/>
        <v>6290.4800000000005</v>
      </c>
      <c r="E28" s="25">
        <f>(L4*E6/B65)*B61</f>
        <v>4043.9914717491515</v>
      </c>
      <c r="F28" s="2">
        <f>(L4*F6/C65)*C61</f>
        <v>3691.2328357372912</v>
      </c>
      <c r="G28" s="159">
        <f>(L4*G6/D65)*D61</f>
        <v>3899.2028213105937</v>
      </c>
      <c r="H28" s="161">
        <f>(L4*H6/F65)*F61</f>
        <v>2431.1889035786789</v>
      </c>
      <c r="I28" s="28">
        <f t="shared" si="6"/>
        <v>14065.616032375716</v>
      </c>
      <c r="J28" s="11">
        <f t="shared" si="0"/>
        <v>20356.096032375717</v>
      </c>
      <c r="K28" s="4">
        <f>13517+1817</f>
        <v>15334</v>
      </c>
      <c r="L28" s="11">
        <f t="shared" si="2"/>
        <v>5022.0960323757172</v>
      </c>
      <c r="M28" s="87"/>
      <c r="N28" s="196">
        <f t="shared" si="3"/>
        <v>20356.096032375717</v>
      </c>
      <c r="O28" s="115">
        <f t="shared" si="4"/>
        <v>1348.9379619596341</v>
      </c>
      <c r="P28" s="115">
        <f t="shared" si="5"/>
        <v>5467.6594231468489</v>
      </c>
    </row>
    <row r="29" spans="1:17" ht="14.45" x14ac:dyDescent="0.3">
      <c r="A29" s="37" t="s">
        <v>16</v>
      </c>
      <c r="B29" s="34"/>
      <c r="C29" s="76">
        <f>(E62*E36)</f>
        <v>6705.384</v>
      </c>
      <c r="D29" s="78">
        <f t="shared" si="1"/>
        <v>6705.384</v>
      </c>
      <c r="E29" s="25">
        <f>(L4*E6/B65)*B62</f>
        <v>4736.9988741063789</v>
      </c>
      <c r="F29" s="2">
        <f>(L4*F6/C65)*C62</f>
        <v>4657.1254670214248</v>
      </c>
      <c r="G29" s="159">
        <f>(L4*G6/D65)*D62</f>
        <v>5853.1170446449942</v>
      </c>
      <c r="H29" s="161">
        <f>(L4*H6/F65)*F62</f>
        <v>3472.8692506785278</v>
      </c>
      <c r="I29" s="28">
        <f t="shared" si="6"/>
        <v>18720.110636451325</v>
      </c>
      <c r="J29" s="11">
        <f t="shared" si="0"/>
        <v>25425.494636451323</v>
      </c>
      <c r="K29" s="4">
        <f>16739+3016</f>
        <v>19755</v>
      </c>
      <c r="L29" s="11">
        <f t="shared" si="2"/>
        <v>5670.4946364513235</v>
      </c>
      <c r="M29" s="87"/>
      <c r="N29" s="196">
        <f t="shared" si="3"/>
        <v>25425.494636451323</v>
      </c>
      <c r="O29" s="115">
        <f t="shared" si="4"/>
        <v>1300.2739363566438</v>
      </c>
      <c r="P29" s="115">
        <f t="shared" si="5"/>
        <v>5830.1982656389182</v>
      </c>
    </row>
    <row r="30" spans="1:17" x14ac:dyDescent="0.25">
      <c r="A30" s="37" t="s">
        <v>17</v>
      </c>
      <c r="B30" s="34"/>
      <c r="C30" s="76">
        <f>E63*E36</f>
        <v>0</v>
      </c>
      <c r="D30" s="78">
        <f t="shared" si="1"/>
        <v>0</v>
      </c>
      <c r="E30" s="25">
        <f>(L4*E6/B65)*B63</f>
        <v>2042.0907781059373</v>
      </c>
      <c r="F30" s="2">
        <f>(L4*F6/C65)*C63</f>
        <v>1130.2146141996916</v>
      </c>
      <c r="G30" s="159">
        <f>(L4*G6/D65)*D63</f>
        <v>2229.2174922887225</v>
      </c>
      <c r="H30" s="161">
        <f>(L4*H6/F65)*F63</f>
        <v>974.38506430527673</v>
      </c>
      <c r="I30" s="28">
        <f t="shared" si="6"/>
        <v>6375.9079488996276</v>
      </c>
      <c r="J30" s="11">
        <f t="shared" si="0"/>
        <v>6375.9079488996276</v>
      </c>
      <c r="K30" s="4">
        <f>4378+795</f>
        <v>5173</v>
      </c>
      <c r="L30" s="11">
        <f t="shared" si="2"/>
        <v>1202.9079488996276</v>
      </c>
      <c r="M30" s="87"/>
      <c r="N30" s="196">
        <f t="shared" si="3"/>
        <v>6375.9079488996276</v>
      </c>
      <c r="O30" s="115">
        <f t="shared" si="4"/>
        <v>639.84465367001462</v>
      </c>
      <c r="P30" s="115">
        <f t="shared" si="5"/>
        <v>3391.440398350866</v>
      </c>
    </row>
    <row r="31" spans="1:17" ht="15.75" thickBot="1" x14ac:dyDescent="0.3">
      <c r="A31" s="38" t="s">
        <v>10</v>
      </c>
      <c r="B31" s="35"/>
      <c r="C31" s="89">
        <f>E64*E36</f>
        <v>441.67200000000003</v>
      </c>
      <c r="D31" s="120">
        <f t="shared" si="1"/>
        <v>441.67200000000003</v>
      </c>
      <c r="E31" s="102">
        <f>(L4*E6/B65)*B64</f>
        <v>1567.4132940462061</v>
      </c>
      <c r="F31" s="6">
        <f>(L4*F6/C65)*C64</f>
        <v>1939.8009690519532</v>
      </c>
      <c r="G31" s="160">
        <f>(L4*G6/D65)*D64</f>
        <v>926.92107001193233</v>
      </c>
      <c r="H31" s="160">
        <f>(L4*H6/F65)*F64</f>
        <v>192.62371457414648</v>
      </c>
      <c r="I31" s="162">
        <f>E31+F31+G31+H31</f>
        <v>4626.7590476842379</v>
      </c>
      <c r="J31" s="12">
        <f t="shared" si="0"/>
        <v>5068.4310476842384</v>
      </c>
      <c r="K31" s="5">
        <f>4906+198</f>
        <v>5104</v>
      </c>
      <c r="L31" s="12">
        <f t="shared" si="2"/>
        <v>-35.568952315761635</v>
      </c>
      <c r="M31" s="88"/>
      <c r="N31" s="197">
        <f t="shared" si="3"/>
        <v>5068.4310476842384</v>
      </c>
      <c r="O31" s="115">
        <f t="shared" si="4"/>
        <v>-24.649308604131416</v>
      </c>
      <c r="P31" s="115">
        <f t="shared" si="5"/>
        <v>3512.4262284714059</v>
      </c>
    </row>
    <row r="32" spans="1:17" ht="16.5" thickTop="1" thickBot="1" x14ac:dyDescent="0.3">
      <c r="A32" s="96" t="s">
        <v>23</v>
      </c>
      <c r="B32" s="192"/>
      <c r="C32" s="98">
        <f>E65*E36</f>
        <v>411798.91200000001</v>
      </c>
      <c r="D32" s="189">
        <f>(B32+C32)</f>
        <v>411798.91200000001</v>
      </c>
      <c r="E32" s="106">
        <f>SUM(E9:E31)</f>
        <v>314820.88</v>
      </c>
      <c r="F32" s="107">
        <f>SUM(F9:F31)</f>
        <v>85860.24</v>
      </c>
      <c r="G32" s="108">
        <f>SUM(G9:G31)</f>
        <v>178875.50000000003</v>
      </c>
      <c r="H32" s="108">
        <f>SUM(H9:H31)</f>
        <v>135945.37999999998</v>
      </c>
      <c r="I32" s="191">
        <f>SUM(I9:I31)</f>
        <v>715502</v>
      </c>
      <c r="J32" s="188">
        <f>D32+I32</f>
        <v>1127300.912</v>
      </c>
      <c r="K32" s="99">
        <f>SUM(K9:K31)</f>
        <v>862015</v>
      </c>
      <c r="L32" s="104">
        <f>SUM(L9:L31)</f>
        <v>265285.91199999989</v>
      </c>
      <c r="M32" s="100"/>
      <c r="N32" s="188">
        <f>SUM(N9:N31)</f>
        <v>1127300.912</v>
      </c>
      <c r="O32" s="118"/>
      <c r="P32" s="198">
        <f>N32/B65*1000</f>
        <v>3889.4977504209332</v>
      </c>
      <c r="Q32" t="s">
        <v>77</v>
      </c>
    </row>
    <row r="33" spans="1:16" ht="14.45" x14ac:dyDescent="0.3">
      <c r="A33" s="7"/>
      <c r="B33" s="7"/>
      <c r="C33" s="7"/>
      <c r="D33" s="74"/>
      <c r="E33" s="7"/>
      <c r="F33" s="7"/>
      <c r="G33" s="7"/>
      <c r="H33" s="7"/>
      <c r="I33" s="74"/>
      <c r="J33" s="74"/>
      <c r="L33" s="7"/>
      <c r="M33" s="7"/>
      <c r="N33" s="74"/>
      <c r="O33" s="116"/>
      <c r="P33" s="116"/>
    </row>
    <row r="34" spans="1:16" ht="14.45" x14ac:dyDescent="0.3">
      <c r="A34" s="7"/>
      <c r="B34" s="7"/>
      <c r="C34" s="7"/>
      <c r="D34" s="74"/>
      <c r="E34" s="7"/>
      <c r="F34" s="187"/>
      <c r="G34" s="7"/>
      <c r="H34" s="7"/>
      <c r="I34" s="7"/>
      <c r="J34" s="74"/>
      <c r="L34" s="74"/>
      <c r="M34" s="74"/>
      <c r="N34" s="112"/>
      <c r="O34" s="7"/>
      <c r="P34" s="7"/>
    </row>
    <row r="35" spans="1:16" ht="14.45" x14ac:dyDescent="0.3">
      <c r="A35" s="7"/>
      <c r="B35" s="7"/>
      <c r="C35" s="7"/>
      <c r="D35" s="7"/>
      <c r="E35" s="7"/>
      <c r="F35" s="7"/>
      <c r="G35" s="7"/>
      <c r="H35" s="7"/>
      <c r="I35" s="7"/>
      <c r="J35" s="74"/>
      <c r="L35" s="7"/>
      <c r="M35" s="7"/>
      <c r="N35" s="7"/>
      <c r="O35" s="7"/>
      <c r="P35" s="7"/>
    </row>
    <row r="36" spans="1:16" ht="15.75" x14ac:dyDescent="0.25">
      <c r="A36" s="7"/>
      <c r="B36" s="7"/>
      <c r="C36" s="395" t="s">
        <v>49</v>
      </c>
      <c r="D36" s="396"/>
      <c r="E36" s="109">
        <v>13.384</v>
      </c>
      <c r="F36" s="32" t="s">
        <v>44</v>
      </c>
      <c r="G36" s="7"/>
      <c r="H36" s="7"/>
      <c r="I36" s="7"/>
      <c r="J36" s="7"/>
      <c r="L36" s="7"/>
      <c r="M36" s="7"/>
      <c r="N36" s="7"/>
      <c r="O36" s="74"/>
      <c r="P36" s="7"/>
    </row>
    <row r="37" spans="1:16" ht="14.4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L37" s="7"/>
      <c r="M37" s="7"/>
      <c r="N37" s="7"/>
      <c r="O37" s="7"/>
      <c r="P37" s="7"/>
    </row>
    <row r="38" spans="1:16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L38" s="7"/>
      <c r="M38" s="7"/>
      <c r="N38" s="7"/>
      <c r="O38" s="7"/>
      <c r="P38" s="7"/>
    </row>
    <row r="39" spans="1:16" x14ac:dyDescent="0.25">
      <c r="A39" s="412" t="s">
        <v>31</v>
      </c>
      <c r="B39" s="404" t="s">
        <v>67</v>
      </c>
      <c r="C39" s="387" t="s">
        <v>41</v>
      </c>
      <c r="D39" s="387" t="s">
        <v>42</v>
      </c>
      <c r="E39" s="387" t="s">
        <v>53</v>
      </c>
      <c r="F39" s="407" t="s">
        <v>45</v>
      </c>
      <c r="G39" s="410"/>
      <c r="H39" s="184"/>
      <c r="I39" s="410"/>
      <c r="J39" s="7"/>
      <c r="L39" s="7"/>
      <c r="M39" s="7"/>
      <c r="N39" s="7"/>
      <c r="O39" s="7"/>
      <c r="P39" s="7"/>
    </row>
    <row r="40" spans="1:16" x14ac:dyDescent="0.25">
      <c r="A40" s="413"/>
      <c r="B40" s="405"/>
      <c r="C40" s="388"/>
      <c r="D40" s="388"/>
      <c r="E40" s="388"/>
      <c r="F40" s="408"/>
      <c r="G40" s="411"/>
      <c r="H40" s="185"/>
      <c r="I40" s="411"/>
      <c r="J40" s="7"/>
      <c r="L40" s="7"/>
      <c r="M40" s="7"/>
      <c r="N40" s="7"/>
      <c r="O40" s="7"/>
      <c r="P40" s="7"/>
    </row>
    <row r="41" spans="1:16" ht="20.45" customHeight="1" thickBot="1" x14ac:dyDescent="0.3">
      <c r="A41" s="414"/>
      <c r="B41" s="406"/>
      <c r="C41" s="389"/>
      <c r="D41" s="389"/>
      <c r="E41" s="389"/>
      <c r="F41" s="415"/>
      <c r="G41" s="411"/>
      <c r="H41" s="185"/>
      <c r="I41" s="411"/>
      <c r="J41" s="7"/>
      <c r="L41" s="7"/>
      <c r="M41" s="7"/>
      <c r="N41" s="7"/>
      <c r="O41" s="7"/>
      <c r="P41" s="7"/>
    </row>
    <row r="42" spans="1:16" ht="15.75" thickTop="1" x14ac:dyDescent="0.25">
      <c r="A42" s="171" t="s">
        <v>32</v>
      </c>
      <c r="B42" s="176">
        <v>37062</v>
      </c>
      <c r="C42" s="50">
        <v>13.24</v>
      </c>
      <c r="D42" s="51">
        <v>1075528</v>
      </c>
      <c r="E42" s="51">
        <v>4748</v>
      </c>
      <c r="F42" s="167">
        <v>2209841.41</v>
      </c>
      <c r="G42" s="163"/>
      <c r="H42" s="163"/>
      <c r="I42" s="164"/>
      <c r="J42" s="7"/>
      <c r="L42" s="7"/>
      <c r="M42" s="7"/>
      <c r="N42" s="7"/>
      <c r="O42" s="7"/>
      <c r="P42" s="7"/>
    </row>
    <row r="43" spans="1:16" x14ac:dyDescent="0.25">
      <c r="A43" s="172" t="s">
        <v>14</v>
      </c>
      <c r="B43" s="177">
        <v>20691</v>
      </c>
      <c r="C43" s="47">
        <v>41.74</v>
      </c>
      <c r="D43" s="48">
        <v>848987</v>
      </c>
      <c r="E43" s="48">
        <v>1772</v>
      </c>
      <c r="F43" s="168">
        <v>2071749.43</v>
      </c>
      <c r="G43" s="163"/>
      <c r="H43" s="163"/>
      <c r="I43" s="164"/>
      <c r="J43" s="7"/>
      <c r="L43" s="7"/>
      <c r="M43" s="7"/>
      <c r="N43" s="7"/>
      <c r="O43" s="7"/>
      <c r="P43" s="7"/>
    </row>
    <row r="44" spans="1:16" x14ac:dyDescent="0.25">
      <c r="A44" s="172" t="s">
        <v>8</v>
      </c>
      <c r="B44" s="177">
        <v>102563</v>
      </c>
      <c r="C44" s="47">
        <v>16.32</v>
      </c>
      <c r="D44" s="48">
        <v>1808890</v>
      </c>
      <c r="E44" s="48">
        <v>10722</v>
      </c>
      <c r="F44" s="168">
        <v>4857500</v>
      </c>
      <c r="G44" s="163"/>
      <c r="H44" s="163"/>
      <c r="I44" s="164"/>
      <c r="J44" s="7"/>
      <c r="L44" s="7"/>
      <c r="M44" s="7"/>
      <c r="N44" s="7"/>
      <c r="O44" s="7"/>
      <c r="P44" s="7"/>
    </row>
    <row r="45" spans="1:16" x14ac:dyDescent="0.25">
      <c r="A45" s="172" t="s">
        <v>11</v>
      </c>
      <c r="B45" s="177">
        <v>64720</v>
      </c>
      <c r="C45" s="47">
        <v>13.18</v>
      </c>
      <c r="D45" s="48">
        <v>1026474</v>
      </c>
      <c r="E45" s="48">
        <v>7566</v>
      </c>
      <c r="F45" s="168">
        <v>3328500</v>
      </c>
      <c r="G45" s="163"/>
      <c r="H45" s="163"/>
      <c r="I45" s="164"/>
      <c r="J45" s="7"/>
      <c r="L45" s="7"/>
      <c r="M45" s="7"/>
      <c r="N45" s="7"/>
      <c r="O45" s="7"/>
      <c r="P45" s="7"/>
    </row>
    <row r="46" spans="1:16" x14ac:dyDescent="0.25">
      <c r="A46" s="172" t="s">
        <v>6</v>
      </c>
      <c r="B46" s="177">
        <v>1999</v>
      </c>
      <c r="C46" s="47">
        <v>7.18</v>
      </c>
      <c r="D46" s="48">
        <v>53946</v>
      </c>
      <c r="E46" s="48">
        <v>155</v>
      </c>
      <c r="F46" s="168">
        <v>87203.6</v>
      </c>
      <c r="G46" s="163"/>
      <c r="H46" s="163"/>
      <c r="I46" s="164"/>
      <c r="J46" s="7"/>
      <c r="L46" s="7"/>
      <c r="M46" s="7"/>
      <c r="N46" s="7"/>
      <c r="O46" s="7"/>
      <c r="P46" s="7"/>
    </row>
    <row r="47" spans="1:16" x14ac:dyDescent="0.25">
      <c r="A47" s="172" t="s">
        <v>18</v>
      </c>
      <c r="B47" s="177">
        <v>7669</v>
      </c>
      <c r="C47" s="47">
        <v>6.47</v>
      </c>
      <c r="D47" s="48">
        <v>323484</v>
      </c>
      <c r="E47" s="48">
        <v>565</v>
      </c>
      <c r="F47" s="168">
        <v>469019.12</v>
      </c>
      <c r="G47" s="163"/>
      <c r="H47" s="163"/>
      <c r="I47" s="164"/>
      <c r="J47" s="7"/>
      <c r="L47" s="7"/>
      <c r="M47" s="7"/>
      <c r="N47" s="7"/>
      <c r="O47" s="7"/>
      <c r="P47" s="7"/>
    </row>
    <row r="48" spans="1:16" x14ac:dyDescent="0.25">
      <c r="A48" s="172" t="s">
        <v>15</v>
      </c>
      <c r="B48" s="177">
        <v>4105</v>
      </c>
      <c r="C48" s="47">
        <v>13.93</v>
      </c>
      <c r="D48" s="48">
        <v>151726</v>
      </c>
      <c r="E48" s="48">
        <v>585</v>
      </c>
      <c r="F48" s="168">
        <v>84513.73</v>
      </c>
      <c r="G48" s="163"/>
      <c r="H48" s="163"/>
      <c r="I48" s="164"/>
      <c r="J48" s="7"/>
      <c r="L48" s="7"/>
      <c r="M48" s="7"/>
      <c r="N48" s="7"/>
      <c r="O48" s="7"/>
      <c r="P48" s="7"/>
    </row>
    <row r="49" spans="1:16" x14ac:dyDescent="0.25">
      <c r="A49" s="172" t="s">
        <v>13</v>
      </c>
      <c r="B49" s="177">
        <v>1279</v>
      </c>
      <c r="C49" s="47">
        <v>1.07</v>
      </c>
      <c r="D49" s="48">
        <v>61455</v>
      </c>
      <c r="E49" s="48">
        <v>0</v>
      </c>
      <c r="F49" s="168">
        <v>170000</v>
      </c>
      <c r="G49" s="163"/>
      <c r="H49" s="163"/>
      <c r="I49" s="164"/>
      <c r="J49" s="7"/>
      <c r="L49" s="7"/>
      <c r="M49" s="7"/>
      <c r="N49" s="7"/>
      <c r="O49" s="7"/>
      <c r="P49" s="7"/>
    </row>
    <row r="50" spans="1:16" x14ac:dyDescent="0.25">
      <c r="A50" s="172" t="s">
        <v>33</v>
      </c>
      <c r="B50" s="177">
        <v>11854</v>
      </c>
      <c r="C50" s="47">
        <v>7.35</v>
      </c>
      <c r="D50" s="48">
        <v>375432</v>
      </c>
      <c r="E50" s="48">
        <v>825</v>
      </c>
      <c r="F50" s="168">
        <v>774968.27</v>
      </c>
      <c r="G50" s="163"/>
      <c r="H50" s="163"/>
      <c r="I50" s="164"/>
      <c r="J50" s="7"/>
      <c r="L50" s="7"/>
      <c r="M50" s="7"/>
      <c r="N50" s="7"/>
      <c r="O50" s="7"/>
      <c r="P50" s="7"/>
    </row>
    <row r="51" spans="1:16" x14ac:dyDescent="0.25">
      <c r="A51" s="172" t="s">
        <v>9</v>
      </c>
      <c r="B51" s="177">
        <v>3143</v>
      </c>
      <c r="C51" s="47">
        <v>3.9</v>
      </c>
      <c r="D51" s="48">
        <v>87132</v>
      </c>
      <c r="E51" s="48">
        <v>478</v>
      </c>
      <c r="F51" s="168">
        <v>185860.74</v>
      </c>
      <c r="G51" s="163"/>
      <c r="H51" s="163"/>
      <c r="I51" s="164"/>
      <c r="J51" s="7"/>
      <c r="L51" s="7"/>
      <c r="M51" s="7"/>
      <c r="N51" s="7"/>
      <c r="O51" s="7"/>
      <c r="P51" s="7"/>
    </row>
    <row r="52" spans="1:16" x14ac:dyDescent="0.25">
      <c r="A52" s="172" t="s">
        <v>3</v>
      </c>
      <c r="B52" s="177">
        <v>1338</v>
      </c>
      <c r="C52" s="47">
        <v>2.14</v>
      </c>
      <c r="D52" s="48">
        <v>37028</v>
      </c>
      <c r="E52" s="48">
        <v>131</v>
      </c>
      <c r="F52" s="168">
        <v>35017</v>
      </c>
      <c r="G52" s="163"/>
      <c r="H52" s="163"/>
      <c r="I52" s="164"/>
      <c r="J52" s="7"/>
      <c r="L52" s="7"/>
      <c r="M52" s="7"/>
      <c r="N52" s="7"/>
      <c r="O52" s="7"/>
      <c r="P52" s="7"/>
    </row>
    <row r="53" spans="1:16" x14ac:dyDescent="0.25">
      <c r="A53" s="172" t="s">
        <v>0</v>
      </c>
      <c r="B53" s="177">
        <v>1628</v>
      </c>
      <c r="C53" s="47">
        <v>5.3</v>
      </c>
      <c r="D53" s="48">
        <v>73858</v>
      </c>
      <c r="E53" s="48">
        <v>188</v>
      </c>
      <c r="F53" s="168">
        <v>147392.93</v>
      </c>
      <c r="G53" s="163"/>
      <c r="H53" s="163"/>
      <c r="I53" s="164"/>
      <c r="N53" s="7"/>
      <c r="O53" s="7"/>
      <c r="P53" s="7"/>
    </row>
    <row r="54" spans="1:16" x14ac:dyDescent="0.25">
      <c r="A54" s="172" t="s">
        <v>7</v>
      </c>
      <c r="B54" s="177">
        <v>709</v>
      </c>
      <c r="C54" s="47">
        <v>3.07</v>
      </c>
      <c r="D54" s="48">
        <v>46410</v>
      </c>
      <c r="E54" s="48">
        <v>0</v>
      </c>
      <c r="F54" s="168">
        <v>358900</v>
      </c>
      <c r="G54" s="163"/>
      <c r="H54" s="163"/>
      <c r="I54" s="164"/>
      <c r="N54" s="7"/>
      <c r="O54" s="7"/>
      <c r="P54" s="7"/>
    </row>
    <row r="55" spans="1:16" x14ac:dyDescent="0.25">
      <c r="A55" s="172" t="s">
        <v>12</v>
      </c>
      <c r="B55" s="177">
        <v>1217</v>
      </c>
      <c r="C55" s="47">
        <v>3.43</v>
      </c>
      <c r="D55" s="48">
        <v>32045</v>
      </c>
      <c r="E55" s="48">
        <v>144</v>
      </c>
      <c r="F55" s="168">
        <v>172982.68</v>
      </c>
      <c r="G55" s="163"/>
      <c r="H55" s="163"/>
      <c r="I55" s="165"/>
      <c r="N55" s="7"/>
      <c r="O55" s="7"/>
      <c r="P55" s="7"/>
    </row>
    <row r="56" spans="1:16" x14ac:dyDescent="0.25">
      <c r="A56" s="172" t="s">
        <v>5</v>
      </c>
      <c r="B56" s="177">
        <v>3355</v>
      </c>
      <c r="C56" s="47">
        <v>2.89</v>
      </c>
      <c r="D56" s="48">
        <v>124219</v>
      </c>
      <c r="E56" s="48">
        <v>416</v>
      </c>
      <c r="F56" s="168">
        <v>212558.84</v>
      </c>
      <c r="G56" s="163"/>
      <c r="H56" s="163"/>
      <c r="I56" s="164"/>
      <c r="N56" s="7"/>
      <c r="O56" s="7"/>
      <c r="P56" s="7"/>
    </row>
    <row r="57" spans="1:16" x14ac:dyDescent="0.25">
      <c r="A57" s="173" t="s">
        <v>34</v>
      </c>
      <c r="B57" s="177">
        <v>6321</v>
      </c>
      <c r="C57" s="47">
        <v>16.66</v>
      </c>
      <c r="D57" s="48">
        <v>320985</v>
      </c>
      <c r="E57" s="48">
        <v>585</v>
      </c>
      <c r="F57" s="168">
        <v>374821.78</v>
      </c>
      <c r="G57" s="163"/>
      <c r="H57" s="163"/>
      <c r="I57" s="164"/>
      <c r="N57" s="7"/>
      <c r="O57" s="7"/>
      <c r="P57" s="7"/>
    </row>
    <row r="58" spans="1:16" x14ac:dyDescent="0.25">
      <c r="A58" s="172" t="s">
        <v>2</v>
      </c>
      <c r="B58" s="177">
        <v>2655</v>
      </c>
      <c r="C58" s="47">
        <v>6.59</v>
      </c>
      <c r="D58" s="48">
        <v>66278</v>
      </c>
      <c r="E58" s="48">
        <v>339</v>
      </c>
      <c r="F58" s="168">
        <v>60502.71</v>
      </c>
      <c r="G58" s="163"/>
      <c r="H58" s="163"/>
      <c r="I58" s="164"/>
      <c r="N58" s="7"/>
      <c r="O58" s="7"/>
      <c r="P58" s="7"/>
    </row>
    <row r="59" spans="1:16" x14ac:dyDescent="0.25">
      <c r="A59" s="172" t="s">
        <v>4</v>
      </c>
      <c r="B59" s="177">
        <v>1145</v>
      </c>
      <c r="C59" s="47">
        <v>4.03</v>
      </c>
      <c r="D59" s="48">
        <v>53634</v>
      </c>
      <c r="E59" s="48">
        <v>28</v>
      </c>
      <c r="F59" s="168">
        <v>71037.56</v>
      </c>
      <c r="G59" s="163"/>
      <c r="H59" s="163"/>
      <c r="I59" s="164"/>
      <c r="N59" s="7"/>
      <c r="O59" s="7"/>
      <c r="P59" s="7"/>
    </row>
    <row r="60" spans="1:16" x14ac:dyDescent="0.25">
      <c r="A60" s="172" t="s">
        <v>35</v>
      </c>
      <c r="B60" s="177">
        <v>4972</v>
      </c>
      <c r="C60" s="47">
        <v>17.25</v>
      </c>
      <c r="D60" s="48">
        <v>147654</v>
      </c>
      <c r="E60" s="48">
        <v>517</v>
      </c>
      <c r="F60" s="168">
        <v>115131.61</v>
      </c>
      <c r="G60" s="163"/>
      <c r="H60" s="163"/>
      <c r="I60" s="164"/>
      <c r="N60" s="7"/>
      <c r="O60" s="7"/>
      <c r="P60" s="7"/>
    </row>
    <row r="61" spans="1:16" x14ac:dyDescent="0.25">
      <c r="A61" s="172" t="s">
        <v>1</v>
      </c>
      <c r="B61" s="177">
        <v>3723</v>
      </c>
      <c r="C61" s="47">
        <v>9.2100000000000009</v>
      </c>
      <c r="D61" s="48">
        <v>157765</v>
      </c>
      <c r="E61" s="48">
        <v>470</v>
      </c>
      <c r="F61" s="168">
        <v>297828.15000000002</v>
      </c>
      <c r="G61" s="163"/>
      <c r="H61" s="163"/>
      <c r="I61" s="164"/>
      <c r="N61" s="7"/>
      <c r="O61" s="7"/>
      <c r="P61" s="7"/>
    </row>
    <row r="62" spans="1:16" x14ac:dyDescent="0.25">
      <c r="A62" s="172" t="s">
        <v>16</v>
      </c>
      <c r="B62" s="177">
        <v>4361</v>
      </c>
      <c r="C62" s="47">
        <v>11.62</v>
      </c>
      <c r="D62" s="48">
        <v>236822</v>
      </c>
      <c r="E62" s="48">
        <v>501</v>
      </c>
      <c r="F62" s="168">
        <v>425437.21</v>
      </c>
      <c r="G62" s="163"/>
      <c r="H62" s="163"/>
      <c r="I62" s="164"/>
      <c r="N62" s="7"/>
      <c r="O62" s="7"/>
      <c r="P62" s="7"/>
    </row>
    <row r="63" spans="1:16" x14ac:dyDescent="0.25">
      <c r="A63" s="172" t="s">
        <v>17</v>
      </c>
      <c r="B63" s="177">
        <v>1880</v>
      </c>
      <c r="C63" s="47">
        <v>2.82</v>
      </c>
      <c r="D63" s="48">
        <v>90196</v>
      </c>
      <c r="E63" s="48">
        <v>0</v>
      </c>
      <c r="F63" s="168">
        <v>119365.18</v>
      </c>
      <c r="G63" s="163"/>
      <c r="H63" s="163"/>
      <c r="I63" s="164"/>
    </row>
    <row r="64" spans="1:16" ht="15.75" thickBot="1" x14ac:dyDescent="0.3">
      <c r="A64" s="174" t="s">
        <v>10</v>
      </c>
      <c r="B64" s="178">
        <v>1443</v>
      </c>
      <c r="C64" s="57">
        <v>4.84</v>
      </c>
      <c r="D64" s="58">
        <v>37504</v>
      </c>
      <c r="E64" s="58">
        <v>33</v>
      </c>
      <c r="F64" s="169">
        <v>23597</v>
      </c>
      <c r="G64" s="163"/>
      <c r="H64" s="163"/>
      <c r="I64" s="164"/>
    </row>
    <row r="65" spans="1:9" ht="16.5" thickTop="1" thickBot="1" x14ac:dyDescent="0.3">
      <c r="A65" s="175" t="s">
        <v>36</v>
      </c>
      <c r="B65" s="41">
        <f t="shared" ref="B65:D65" si="7">SUM(B42:B64)</f>
        <v>289832</v>
      </c>
      <c r="C65" s="42">
        <f t="shared" si="7"/>
        <v>214.23000000000002</v>
      </c>
      <c r="D65" s="43">
        <f t="shared" si="7"/>
        <v>7237452</v>
      </c>
      <c r="E65" s="44">
        <f>SUM(E42:E64)</f>
        <v>30768</v>
      </c>
      <c r="F65" s="170">
        <f>SUM(F42:F64)</f>
        <v>16653728.949999999</v>
      </c>
      <c r="G65" s="163"/>
      <c r="H65" s="163"/>
      <c r="I65" s="166"/>
    </row>
  </sheetData>
  <mergeCells count="14">
    <mergeCell ref="C36:D36"/>
    <mergeCell ref="I6:I8"/>
    <mergeCell ref="A7:A8"/>
    <mergeCell ref="E7:E8"/>
    <mergeCell ref="F7:F8"/>
    <mergeCell ref="G7:G8"/>
    <mergeCell ref="G39:G41"/>
    <mergeCell ref="I39:I41"/>
    <mergeCell ref="A39:A41"/>
    <mergeCell ref="B39:B41"/>
    <mergeCell ref="C39:C41"/>
    <mergeCell ref="D39:D41"/>
    <mergeCell ref="E39:E41"/>
    <mergeCell ref="F39:F41"/>
  </mergeCells>
  <pageMargins left="0.11811023622047245" right="0.11811023622047245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34" workbookViewId="0">
      <selection sqref="A1:P104857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4" max="15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87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1127301</v>
      </c>
    </row>
    <row r="3" spans="1:14" ht="18.75" x14ac:dyDescent="0.3">
      <c r="A3" s="7"/>
      <c r="B3" s="7"/>
      <c r="C3" s="7"/>
      <c r="D3" s="7"/>
      <c r="E3" s="7"/>
      <c r="F3" s="7"/>
      <c r="G3" s="7"/>
      <c r="H3" s="7"/>
      <c r="I3" s="7"/>
      <c r="J3" s="20" t="s">
        <v>29</v>
      </c>
      <c r="K3" s="182"/>
      <c r="L3" s="30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30</v>
      </c>
      <c r="K4" s="7"/>
      <c r="L4" s="33">
        <v>411799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37</v>
      </c>
      <c r="K5" s="7"/>
      <c r="L5" s="93">
        <v>715502</v>
      </c>
      <c r="M5">
        <v>728025</v>
      </c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  <c r="N6">
        <f>7155017307+125233333</f>
        <v>7280250640</v>
      </c>
    </row>
    <row r="7" spans="1:14" ht="15.75" thickBot="1" x14ac:dyDescent="0.3">
      <c r="C7" s="200">
        <v>0.44</v>
      </c>
      <c r="D7" s="201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90" t="s">
        <v>31</v>
      </c>
      <c r="B8" s="69">
        <v>1</v>
      </c>
      <c r="C8" s="397" t="s">
        <v>38</v>
      </c>
      <c r="D8" s="399" t="s">
        <v>39</v>
      </c>
      <c r="E8" s="399" t="s">
        <v>40</v>
      </c>
      <c r="F8" s="202"/>
      <c r="G8" s="202"/>
      <c r="H8" s="9">
        <v>3</v>
      </c>
      <c r="I8" s="16">
        <v>4</v>
      </c>
      <c r="J8" s="9">
        <v>5</v>
      </c>
      <c r="K8" s="90">
        <v>6</v>
      </c>
      <c r="L8" s="208">
        <v>7</v>
      </c>
      <c r="M8" s="214"/>
      <c r="N8" s="213"/>
    </row>
    <row r="9" spans="1:14" ht="75.75" thickBot="1" x14ac:dyDescent="0.3">
      <c r="A9" s="391"/>
      <c r="B9" s="70" t="s">
        <v>74</v>
      </c>
      <c r="C9" s="398"/>
      <c r="D9" s="400"/>
      <c r="E9" s="400"/>
      <c r="F9" s="157" t="s">
        <v>66</v>
      </c>
      <c r="G9" s="157" t="s">
        <v>43</v>
      </c>
      <c r="H9" s="199" t="s">
        <v>79</v>
      </c>
      <c r="I9" s="17" t="s">
        <v>80</v>
      </c>
      <c r="J9" s="71" t="s">
        <v>86</v>
      </c>
      <c r="K9" s="91" t="s">
        <v>68</v>
      </c>
      <c r="L9" s="209" t="s">
        <v>72</v>
      </c>
      <c r="M9" s="215" t="s">
        <v>81</v>
      </c>
      <c r="N9" s="217" t="s">
        <v>82</v>
      </c>
    </row>
    <row r="10" spans="1:14" x14ac:dyDescent="0.25">
      <c r="A10" s="39" t="s">
        <v>19</v>
      </c>
      <c r="B10" s="75">
        <f>E43*E37</f>
        <v>63547.232000000004</v>
      </c>
      <c r="C10" s="23">
        <f>L5*C7/B66*B43</f>
        <v>40201.018727201044</v>
      </c>
      <c r="D10" s="1">
        <f>L5*D7/C66*C43</f>
        <v>5306.3976921999711</v>
      </c>
      <c r="E10" s="158">
        <f>L5*E7/D66*D43</f>
        <v>26581.95298068989</v>
      </c>
      <c r="F10" s="158">
        <f>L5*F7/F66*F43</f>
        <v>18039.066873499574</v>
      </c>
      <c r="G10" s="204">
        <f>C10+D10+E10+F10</f>
        <v>90128.436273590472</v>
      </c>
      <c r="H10" s="10">
        <f t="shared" ref="H10:H32" si="0">B10+G10</f>
        <v>153675.66827359048</v>
      </c>
      <c r="I10" s="3">
        <f>99746+18010</f>
        <v>117756</v>
      </c>
      <c r="J10" s="94">
        <f>SUM(H10-I10)</f>
        <v>35919.668273590476</v>
      </c>
      <c r="K10" s="86"/>
      <c r="L10" s="210">
        <f>H10</f>
        <v>153675.66827359048</v>
      </c>
      <c r="M10" s="216">
        <f>J10/B43*1000</f>
        <v>972.80002907568189</v>
      </c>
      <c r="N10" s="76">
        <f>L10/B43*1000</f>
        <v>4161.9453004438974</v>
      </c>
    </row>
    <row r="11" spans="1:14" x14ac:dyDescent="0.25">
      <c r="A11" s="37" t="s">
        <v>14</v>
      </c>
      <c r="B11" s="75">
        <f>E44*E37</f>
        <v>23716.448</v>
      </c>
      <c r="C11" s="25">
        <f>L5*C7/B66*B44</f>
        <v>22549.108949709156</v>
      </c>
      <c r="D11" s="2">
        <f>L5*D7/C66*C44</f>
        <v>16728.779431452174</v>
      </c>
      <c r="E11" s="159">
        <f>L5*E7/D66*D44</f>
        <v>20982.933512857839</v>
      </c>
      <c r="F11" s="161">
        <f>L5*F7/F66*F44</f>
        <v>16911.813826904719</v>
      </c>
      <c r="G11" s="204">
        <f t="shared" ref="G11:G32" si="1">C11+D11+E11+F11</f>
        <v>77172.635720923892</v>
      </c>
      <c r="H11" s="147">
        <f t="shared" si="0"/>
        <v>100889.0837209239</v>
      </c>
      <c r="I11" s="4">
        <f>64558+12203</f>
        <v>76761</v>
      </c>
      <c r="J11" s="11">
        <f t="shared" ref="J11:J32" si="2">SUM(H11-I11)</f>
        <v>24128.083720923896</v>
      </c>
      <c r="K11" s="87"/>
      <c r="L11" s="210">
        <f t="shared" ref="L11:L32" si="3">H11</f>
        <v>100889.0837209239</v>
      </c>
      <c r="M11" s="216">
        <f t="shared" ref="M11:M33" si="4">J11/B44*1000</f>
        <v>1164.9888330319104</v>
      </c>
      <c r="N11" s="76">
        <f t="shared" ref="N11:N33" si="5">L11/B44*1000</f>
        <v>4871.2801757966245</v>
      </c>
    </row>
    <row r="12" spans="1:14" ht="14.45" x14ac:dyDescent="0.3">
      <c r="A12" s="37" t="s">
        <v>8</v>
      </c>
      <c r="B12" s="75">
        <f>E45*E37</f>
        <v>143503.24799999999</v>
      </c>
      <c r="C12" s="25">
        <f>L5*C7/B66*B45</f>
        <v>111042.73916709896</v>
      </c>
      <c r="D12" s="2">
        <f>L5*D7/C66*C45</f>
        <v>6540.8164906875782</v>
      </c>
      <c r="E12" s="159">
        <f>L5*E7/D66*D45</f>
        <v>44707.184682537445</v>
      </c>
      <c r="F12" s="161">
        <f>L5*F7/F66*F45</f>
        <v>39652.061429161186</v>
      </c>
      <c r="G12" s="204">
        <f t="shared" si="1"/>
        <v>201942.80176948517</v>
      </c>
      <c r="H12" s="11">
        <f t="shared" si="0"/>
        <v>345446.04976948514</v>
      </c>
      <c r="I12" s="4">
        <f>225338+34245</f>
        <v>259583</v>
      </c>
      <c r="J12" s="95">
        <f t="shared" si="2"/>
        <v>85863.049769485136</v>
      </c>
      <c r="K12" s="87"/>
      <c r="L12" s="210">
        <f t="shared" si="3"/>
        <v>345446.04976948514</v>
      </c>
      <c r="M12" s="216">
        <f t="shared" si="4"/>
        <v>841.86888813214046</v>
      </c>
      <c r="N12" s="76">
        <f t="shared" si="5"/>
        <v>3387.0248332645542</v>
      </c>
    </row>
    <row r="13" spans="1:14" ht="14.45" x14ac:dyDescent="0.3">
      <c r="A13" s="37" t="s">
        <v>11</v>
      </c>
      <c r="B13" s="75">
        <f>E46*E37</f>
        <v>101263.344</v>
      </c>
      <c r="C13" s="25">
        <f>L5*C7/B66*B46</f>
        <v>70206.97897315654</v>
      </c>
      <c r="D13" s="2">
        <f>L5*D7/C66*C46</f>
        <v>5282.3505727489137</v>
      </c>
      <c r="E13" s="159">
        <f>L5*E7/D66*D46</f>
        <v>25369.570670313253</v>
      </c>
      <c r="F13" s="161">
        <f>L5*F7/F66*F46</f>
        <v>27170.743482648071</v>
      </c>
      <c r="G13" s="204">
        <f t="shared" si="1"/>
        <v>128029.64369886677</v>
      </c>
      <c r="H13" s="11">
        <f t="shared" si="0"/>
        <v>229292.98769886675</v>
      </c>
      <c r="I13" s="4">
        <f>147946+26195</f>
        <v>174141</v>
      </c>
      <c r="J13" s="11">
        <f t="shared" si="2"/>
        <v>55151.987698866753</v>
      </c>
      <c r="K13" s="87"/>
      <c r="L13" s="210">
        <f t="shared" si="3"/>
        <v>229292.98769886675</v>
      </c>
      <c r="M13" s="216">
        <f t="shared" si="4"/>
        <v>855.28173963877475</v>
      </c>
      <c r="N13" s="76">
        <f t="shared" si="5"/>
        <v>3555.8121037601072</v>
      </c>
    </row>
    <row r="14" spans="1:14" x14ac:dyDescent="0.25">
      <c r="A14" s="37" t="s">
        <v>6</v>
      </c>
      <c r="B14" s="75">
        <f>E47*E37</f>
        <v>2074.52</v>
      </c>
      <c r="C14" s="25">
        <f>L5*C7/B66*B47</f>
        <v>2215.6070065500521</v>
      </c>
      <c r="D14" s="2">
        <f>L5*D7/C66*C47</f>
        <v>2877.6386276431867</v>
      </c>
      <c r="E14" s="159">
        <f>L5*E7/D66*D47</f>
        <v>1333.2893569449579</v>
      </c>
      <c r="F14" s="161">
        <f>L5*F7/F66*F47</f>
        <v>711.84817376098829</v>
      </c>
      <c r="G14" s="204">
        <f t="shared" si="1"/>
        <v>7138.3831648991854</v>
      </c>
      <c r="H14" s="11">
        <f t="shared" si="0"/>
        <v>9212.9031648991859</v>
      </c>
      <c r="I14" s="4">
        <f>6509+503</f>
        <v>7012</v>
      </c>
      <c r="J14" s="11">
        <f t="shared" si="2"/>
        <v>2200.9031648991859</v>
      </c>
      <c r="K14" s="87"/>
      <c r="L14" s="210">
        <f t="shared" si="3"/>
        <v>9212.9031648991859</v>
      </c>
      <c r="M14" s="216">
        <f t="shared" si="4"/>
        <v>1081.5248967563566</v>
      </c>
      <c r="N14" s="76">
        <f t="shared" si="5"/>
        <v>4527.225142456603</v>
      </c>
    </row>
    <row r="15" spans="1:14" x14ac:dyDescent="0.25">
      <c r="A15" s="37" t="s">
        <v>18</v>
      </c>
      <c r="B15" s="75">
        <f>E48*E37</f>
        <v>7561.96</v>
      </c>
      <c r="C15" s="25">
        <f>L5*C7/B66*B48</f>
        <v>8355.0703529558232</v>
      </c>
      <c r="D15" s="2">
        <f>L5*D7/C66*C48</f>
        <v>2593.0810474723421</v>
      </c>
      <c r="E15" s="159">
        <f>L5*E7/D66*D48</f>
        <v>7994.9908119597894</v>
      </c>
      <c r="F15" s="161">
        <f>L5*F7/F66*F48</f>
        <v>3828.6309743059437</v>
      </c>
      <c r="G15" s="204">
        <f t="shared" si="1"/>
        <v>22771.773186693896</v>
      </c>
      <c r="H15" s="11">
        <f t="shared" si="0"/>
        <v>30333.733186693895</v>
      </c>
      <c r="I15" s="4">
        <f>20191+3002</f>
        <v>23193</v>
      </c>
      <c r="J15" s="11">
        <f t="shared" si="2"/>
        <v>7140.7331866938948</v>
      </c>
      <c r="K15" s="87"/>
      <c r="L15" s="210">
        <f t="shared" si="3"/>
        <v>30333.733186693895</v>
      </c>
      <c r="M15" s="216">
        <f t="shared" si="4"/>
        <v>930.50992789860493</v>
      </c>
      <c r="N15" s="76">
        <f t="shared" si="5"/>
        <v>3952.7929615186208</v>
      </c>
    </row>
    <row r="16" spans="1:14" x14ac:dyDescent="0.25">
      <c r="A16" s="37" t="s">
        <v>15</v>
      </c>
      <c r="B16" s="75">
        <f>E49*E37</f>
        <v>7829.64</v>
      </c>
      <c r="C16" s="25">
        <f>L5*C7/B66*B49</f>
        <v>4467.1427753684839</v>
      </c>
      <c r="D16" s="2">
        <f>L5*D7/C66*C49</f>
        <v>5582.9395658871299</v>
      </c>
      <c r="E16" s="159">
        <f>L5*E7/D66*D49</f>
        <v>3749.9473727770492</v>
      </c>
      <c r="F16" s="161">
        <f>L5*F7/F66*F49</f>
        <v>689.8906049547179</v>
      </c>
      <c r="G16" s="204">
        <f t="shared" si="1"/>
        <v>14489.920318987381</v>
      </c>
      <c r="H16" s="11">
        <f t="shared" si="0"/>
        <v>22319.56031898738</v>
      </c>
      <c r="I16" s="4">
        <f>16313+600</f>
        <v>16913</v>
      </c>
      <c r="J16" s="11">
        <f t="shared" si="2"/>
        <v>5406.56031898738</v>
      </c>
      <c r="K16" s="87"/>
      <c r="L16" s="210">
        <f t="shared" si="3"/>
        <v>22319.56031898738</v>
      </c>
      <c r="M16" s="216">
        <f t="shared" si="4"/>
        <v>1317.7090711643627</v>
      </c>
      <c r="N16" s="76">
        <f t="shared" si="5"/>
        <v>5439.814847425635</v>
      </c>
    </row>
    <row r="17" spans="1:14" ht="14.45" x14ac:dyDescent="0.3">
      <c r="A17" s="37" t="s">
        <v>13</v>
      </c>
      <c r="B17" s="75">
        <f>E50*E37</f>
        <v>0</v>
      </c>
      <c r="C17" s="25">
        <f>L5*C7/B66*B50</f>
        <v>1396.8667269797136</v>
      </c>
      <c r="D17" s="2">
        <f>L5*D7/C66*C50</f>
        <v>428.840296877188</v>
      </c>
      <c r="E17" s="159">
        <f>L5*E7/D66*D50</f>
        <v>1518.876236070374</v>
      </c>
      <c r="F17" s="161">
        <f>L5*F7/F66*F50</f>
        <v>1387.7201117771285</v>
      </c>
      <c r="G17" s="204">
        <f t="shared" si="1"/>
        <v>4732.3033717044036</v>
      </c>
      <c r="H17" s="147">
        <f t="shared" si="0"/>
        <v>4732.3033717044036</v>
      </c>
      <c r="I17" s="4">
        <f>3125+1137</f>
        <v>4262</v>
      </c>
      <c r="J17" s="11">
        <f t="shared" si="2"/>
        <v>470.30337170440362</v>
      </c>
      <c r="K17" s="87"/>
      <c r="L17" s="210">
        <f t="shared" si="3"/>
        <v>4732.3033717044036</v>
      </c>
      <c r="M17" s="216">
        <f t="shared" si="4"/>
        <v>366.5653715544845</v>
      </c>
      <c r="N17" s="76">
        <f t="shared" si="5"/>
        <v>3688.4671642279063</v>
      </c>
    </row>
    <row r="18" spans="1:14" x14ac:dyDescent="0.25">
      <c r="A18" s="37" t="s">
        <v>20</v>
      </c>
      <c r="B18" s="75">
        <f>E51*E37</f>
        <v>11041.800000000001</v>
      </c>
      <c r="C18" s="25">
        <f>L5*C7/B66*B51</f>
        <v>12972.460679628439</v>
      </c>
      <c r="D18" s="2">
        <f>L5*D7/C66*C51</f>
        <v>2945.7721327545155</v>
      </c>
      <c r="E18" s="159">
        <f>L5*E7/D66*D51</f>
        <v>9278.8990816104888</v>
      </c>
      <c r="F18" s="161">
        <f>L5*F7/F66*F51</f>
        <v>6326.1120839301639</v>
      </c>
      <c r="G18" s="204">
        <f t="shared" si="1"/>
        <v>31523.243977923608</v>
      </c>
      <c r="H18" s="11">
        <f t="shared" si="0"/>
        <v>42565.043977923611</v>
      </c>
      <c r="I18" s="4">
        <f>27589+4820</f>
        <v>32409</v>
      </c>
      <c r="J18" s="11">
        <f t="shared" si="2"/>
        <v>10156.043977923611</v>
      </c>
      <c r="K18" s="87"/>
      <c r="L18" s="210">
        <f t="shared" si="3"/>
        <v>42565.043977923611</v>
      </c>
      <c r="M18" s="216">
        <f t="shared" si="4"/>
        <v>852.37465194491074</v>
      </c>
      <c r="N18" s="76">
        <f t="shared" si="5"/>
        <v>3572.3914375093254</v>
      </c>
    </row>
    <row r="19" spans="1:14" x14ac:dyDescent="0.25">
      <c r="A19" s="37" t="s">
        <v>9</v>
      </c>
      <c r="B19" s="75">
        <f>E52*E37</f>
        <v>6397.5520000000006</v>
      </c>
      <c r="C19" s="25">
        <f>L5*C7/B66*B52</f>
        <v>3423.0311688419479</v>
      </c>
      <c r="D19" s="2">
        <f>L5*D7/C66*C52</f>
        <v>1563.0627643187227</v>
      </c>
      <c r="E19" s="159">
        <f>L5*E7/D66*D52</f>
        <v>2153.4899390006317</v>
      </c>
      <c r="F19" s="161">
        <f>L5*F7/F66*F52</f>
        <v>1517.1922758104695</v>
      </c>
      <c r="G19" s="204">
        <f t="shared" si="1"/>
        <v>8656.7761479717719</v>
      </c>
      <c r="H19" s="11">
        <f t="shared" si="0"/>
        <v>15054.328147971773</v>
      </c>
      <c r="I19" s="4">
        <f>9920+721</f>
        <v>10641</v>
      </c>
      <c r="J19" s="11">
        <f t="shared" si="2"/>
        <v>4413.3281479717734</v>
      </c>
      <c r="K19" s="87"/>
      <c r="L19" s="210">
        <f t="shared" si="3"/>
        <v>15054.328147971773</v>
      </c>
      <c r="M19" s="216">
        <f t="shared" si="4"/>
        <v>1403.7303269630324</v>
      </c>
      <c r="N19" s="76">
        <f t="shared" si="5"/>
        <v>4788.2723116958568</v>
      </c>
    </row>
    <row r="20" spans="1:14" ht="14.45" x14ac:dyDescent="0.3">
      <c r="A20" s="37" t="s">
        <v>3</v>
      </c>
      <c r="B20" s="75">
        <f>E53*E37</f>
        <v>1753.3040000000001</v>
      </c>
      <c r="C20" s="25">
        <f>L5*C7/B66*B53</f>
        <v>1466.5467507729338</v>
      </c>
      <c r="D20" s="2">
        <f>L5*D7/C66*C53</f>
        <v>857.68059375437599</v>
      </c>
      <c r="E20" s="159">
        <f>L5*E7/D66*D53</f>
        <v>915.15660677265976</v>
      </c>
      <c r="F20" s="161">
        <f>L5*F7/F66*F53</f>
        <v>285.84585384764534</v>
      </c>
      <c r="G20" s="204">
        <f t="shared" si="1"/>
        <v>3525.229805147615</v>
      </c>
      <c r="H20" s="11">
        <f t="shared" si="0"/>
        <v>5278.5338051476156</v>
      </c>
      <c r="I20" s="4">
        <f>5873+290</f>
        <v>6163</v>
      </c>
      <c r="J20" s="11">
        <f t="shared" si="2"/>
        <v>-884.46619485238443</v>
      </c>
      <c r="K20" s="87"/>
      <c r="L20" s="210">
        <f t="shared" si="3"/>
        <v>5278.5338051476156</v>
      </c>
      <c r="M20" s="216">
        <f t="shared" si="4"/>
        <v>-656.61929833139152</v>
      </c>
      <c r="N20" s="76">
        <f t="shared" si="5"/>
        <v>3918.7333371548743</v>
      </c>
    </row>
    <row r="21" spans="1:14" x14ac:dyDescent="0.25">
      <c r="A21" s="37" t="s">
        <v>0</v>
      </c>
      <c r="B21" s="75">
        <f>E54*E37</f>
        <v>2516.192</v>
      </c>
      <c r="C21" s="25">
        <f>L5*C7/B66*B54</f>
        <v>1784.4618593295015</v>
      </c>
      <c r="D21" s="2">
        <f>L5*D7/C66*C54</f>
        <v>2124.1622181767257</v>
      </c>
      <c r="E21" s="159">
        <f>L5*E7/D66*D54</f>
        <v>1825.4195922819247</v>
      </c>
      <c r="F21" s="161">
        <f>L5*F7/F66*F54</f>
        <v>1203.1772546750499</v>
      </c>
      <c r="G21" s="204">
        <f t="shared" si="1"/>
        <v>6937.2209244632013</v>
      </c>
      <c r="H21" s="11">
        <f t="shared" si="0"/>
        <v>9453.4129244632022</v>
      </c>
      <c r="I21" s="4">
        <f>8224+898</f>
        <v>9122</v>
      </c>
      <c r="J21" s="11">
        <f t="shared" si="2"/>
        <v>331.41292446320222</v>
      </c>
      <c r="K21" s="87"/>
      <c r="L21" s="210">
        <f t="shared" si="3"/>
        <v>9453.4129244632022</v>
      </c>
      <c r="M21" s="216">
        <f t="shared" si="4"/>
        <v>202.2043468353888</v>
      </c>
      <c r="N21" s="76">
        <f t="shared" si="5"/>
        <v>5767.7931204778533</v>
      </c>
    </row>
    <row r="22" spans="1:14" x14ac:dyDescent="0.25">
      <c r="A22" s="37" t="s">
        <v>7</v>
      </c>
      <c r="B22" s="75">
        <f>E55*E37</f>
        <v>0</v>
      </c>
      <c r="C22" s="25">
        <f>L5*C7/B66*B55</f>
        <v>771.92401358426878</v>
      </c>
      <c r="D22" s="2">
        <f>L5*D7/C66*C55</f>
        <v>1230.4109452457635</v>
      </c>
      <c r="E22" s="159">
        <f>L5*E7/D66*D55</f>
        <v>1147.035165829079</v>
      </c>
      <c r="F22" s="161">
        <f>L5*F7/F66*F55</f>
        <v>2929.7220477459496</v>
      </c>
      <c r="G22" s="204">
        <f t="shared" si="1"/>
        <v>6079.0921724050604</v>
      </c>
      <c r="H22" s="11">
        <f t="shared" si="0"/>
        <v>6079.0921724050604</v>
      </c>
      <c r="I22" s="4">
        <f>3051+1547</f>
        <v>4598</v>
      </c>
      <c r="J22" s="11">
        <f t="shared" si="2"/>
        <v>1481.0921724050604</v>
      </c>
      <c r="K22" s="87"/>
      <c r="L22" s="210">
        <f t="shared" si="3"/>
        <v>6079.0921724050604</v>
      </c>
      <c r="M22" s="219">
        <f t="shared" si="4"/>
        <v>2088.9875492313968</v>
      </c>
      <c r="N22" s="220">
        <f t="shared" si="5"/>
        <v>8574.1779582581948</v>
      </c>
    </row>
    <row r="23" spans="1:14" ht="14.45" x14ac:dyDescent="0.3">
      <c r="A23" s="37" t="s">
        <v>12</v>
      </c>
      <c r="B23" s="75">
        <f>E56*E37</f>
        <v>1927.296</v>
      </c>
      <c r="C23" s="25">
        <f>L5*C7/B66*B56</f>
        <v>1341.3404580194911</v>
      </c>
      <c r="D23" s="2">
        <f>L5*D7/C66*C56</f>
        <v>1374.6936619521073</v>
      </c>
      <c r="E23" s="159">
        <f>L5*E7/D66*D56</f>
        <v>792.00047164388798</v>
      </c>
      <c r="F23" s="161">
        <f>L5*F7/F66*F56</f>
        <v>1412.0679060300426</v>
      </c>
      <c r="G23" s="204">
        <f t="shared" si="1"/>
        <v>4920.1024976455292</v>
      </c>
      <c r="H23" s="11">
        <f t="shared" si="0"/>
        <v>6847.3984976455295</v>
      </c>
      <c r="I23" s="4">
        <f>4768+600</f>
        <v>5368</v>
      </c>
      <c r="J23" s="11">
        <f t="shared" si="2"/>
        <v>1479.3984976455295</v>
      </c>
      <c r="K23" s="87"/>
      <c r="L23" s="210">
        <f t="shared" si="3"/>
        <v>6847.3984976455295</v>
      </c>
      <c r="M23" s="216">
        <f t="shared" si="4"/>
        <v>1200.8104688681244</v>
      </c>
      <c r="N23" s="76">
        <f t="shared" si="5"/>
        <v>5557.953326010982</v>
      </c>
    </row>
    <row r="24" spans="1:14" x14ac:dyDescent="0.25">
      <c r="A24" s="37" t="s">
        <v>5</v>
      </c>
      <c r="B24" s="75">
        <f>E57*E37</f>
        <v>5567.7440000000006</v>
      </c>
      <c r="C24" s="25">
        <f>L5*C7/B66*B57</f>
        <v>3670.1775032335263</v>
      </c>
      <c r="D24" s="2">
        <f>L5*D7/C66*C57</f>
        <v>1158.2695868925919</v>
      </c>
      <c r="E24" s="159">
        <f>L5*E7/D66*D57</f>
        <v>3070.1047460487475</v>
      </c>
      <c r="F24" s="161">
        <f>L5*F7/F66*F57</f>
        <v>1735.1304541412751</v>
      </c>
      <c r="G24" s="204">
        <f t="shared" si="1"/>
        <v>9633.682290316141</v>
      </c>
      <c r="H24" s="11">
        <f t="shared" si="0"/>
        <v>15201.426290316142</v>
      </c>
      <c r="I24" s="4">
        <f>10009+1320</f>
        <v>11329</v>
      </c>
      <c r="J24" s="11">
        <f t="shared" si="2"/>
        <v>3872.4262903161416</v>
      </c>
      <c r="K24" s="87"/>
      <c r="L24" s="210">
        <f t="shared" si="3"/>
        <v>15201.426290316142</v>
      </c>
      <c r="M24" s="216">
        <f t="shared" si="4"/>
        <v>1148.7470454809081</v>
      </c>
      <c r="N24" s="76">
        <f t="shared" si="5"/>
        <v>4509.470866305589</v>
      </c>
    </row>
    <row r="25" spans="1:14" ht="14.45" x14ac:dyDescent="0.3">
      <c r="A25" s="36" t="s">
        <v>21</v>
      </c>
      <c r="B25" s="75">
        <f>E58*E37</f>
        <v>7829.64</v>
      </c>
      <c r="C25" s="25">
        <f>L5*C7/B66*B58</f>
        <v>6872.1923466063536</v>
      </c>
      <c r="D25" s="2">
        <f>L5*D7/C66*C58</f>
        <v>6677.0835009102357</v>
      </c>
      <c r="E25" s="159">
        <f>L5*E7/D66*D58</f>
        <v>7933.2273799536079</v>
      </c>
      <c r="F25" s="161">
        <f>L5*F7/F66*F58</f>
        <v>3059.6924849300135</v>
      </c>
      <c r="G25" s="204">
        <f t="shared" si="1"/>
        <v>24542.195712400211</v>
      </c>
      <c r="H25" s="11">
        <f t="shared" si="0"/>
        <v>32371.83571240021</v>
      </c>
      <c r="I25" s="4">
        <f>22557+2860</f>
        <v>25417</v>
      </c>
      <c r="J25" s="11">
        <f t="shared" si="2"/>
        <v>6954.8357124002105</v>
      </c>
      <c r="K25" s="87"/>
      <c r="L25" s="210">
        <f t="shared" si="3"/>
        <v>32371.83571240021</v>
      </c>
      <c r="M25" s="216">
        <f t="shared" si="4"/>
        <v>1101.843427186345</v>
      </c>
      <c r="N25" s="76">
        <f t="shared" si="5"/>
        <v>5128.6178251584615</v>
      </c>
    </row>
    <row r="26" spans="1:14" x14ac:dyDescent="0.25">
      <c r="A26" s="37" t="s">
        <v>2</v>
      </c>
      <c r="B26" s="75">
        <f>E59*E37</f>
        <v>4537.1760000000004</v>
      </c>
      <c r="C26" s="25">
        <f>L5*C7/B66*B59</f>
        <v>2900.4309903927956</v>
      </c>
      <c r="D26" s="2">
        <f>L5*D7/C66*C59</f>
        <v>2641.1752863744568</v>
      </c>
      <c r="E26" s="159">
        <f>L5*E7/D66*D59</f>
        <v>1638.0779297741801</v>
      </c>
      <c r="F26" s="161">
        <f>L5*F7/F66*F59</f>
        <v>493.88722049423052</v>
      </c>
      <c r="G26" s="204">
        <f t="shared" si="1"/>
        <v>7673.571427035663</v>
      </c>
      <c r="H26" s="11">
        <f t="shared" si="0"/>
        <v>12210.747427035663</v>
      </c>
      <c r="I26" s="4">
        <f>8717+473</f>
        <v>9190</v>
      </c>
      <c r="J26" s="11">
        <f t="shared" si="2"/>
        <v>3020.7474270356633</v>
      </c>
      <c r="K26" s="87"/>
      <c r="L26" s="210">
        <f t="shared" si="3"/>
        <v>12210.747427035663</v>
      </c>
      <c r="M26" s="216">
        <f t="shared" si="4"/>
        <v>1133.9141993377116</v>
      </c>
      <c r="N26" s="76">
        <f t="shared" si="5"/>
        <v>4583.6138990374111</v>
      </c>
    </row>
    <row r="27" spans="1:14" ht="14.45" x14ac:dyDescent="0.3">
      <c r="A27" s="37" t="s">
        <v>4</v>
      </c>
      <c r="B27" s="75">
        <f>E60*E37</f>
        <v>374.75200000000001</v>
      </c>
      <c r="C27" s="25">
        <f>L5*C7/B66*B60</f>
        <v>1245.5304253038132</v>
      </c>
      <c r="D27" s="2">
        <f>L5*D7/C66*C60</f>
        <v>1615.1648564626801</v>
      </c>
      <c r="E27" s="159">
        <f>L5*E7/D66*D60</f>
        <v>1325.5781961662751</v>
      </c>
      <c r="F27" s="161">
        <f>L5*F7/F66*F60</f>
        <v>579.88382766808513</v>
      </c>
      <c r="G27" s="204">
        <f t="shared" si="1"/>
        <v>4766.1573056008538</v>
      </c>
      <c r="H27" s="11">
        <f t="shared" si="0"/>
        <v>5140.9093056008542</v>
      </c>
      <c r="I27" s="4">
        <f>3661+487</f>
        <v>4148</v>
      </c>
      <c r="J27" s="11">
        <f t="shared" si="2"/>
        <v>992.90930560085417</v>
      </c>
      <c r="K27" s="87"/>
      <c r="L27" s="210">
        <f t="shared" si="3"/>
        <v>5140.9093056008542</v>
      </c>
      <c r="M27" s="216">
        <f t="shared" si="4"/>
        <v>867.92771468606134</v>
      </c>
      <c r="N27" s="76">
        <f t="shared" si="5"/>
        <v>4493.801840560187</v>
      </c>
    </row>
    <row r="28" spans="1:14" ht="14.45" x14ac:dyDescent="0.3">
      <c r="A28" s="37" t="s">
        <v>22</v>
      </c>
      <c r="B28" s="75">
        <f>E61*E37</f>
        <v>6919.5280000000002</v>
      </c>
      <c r="C28" s="25">
        <f>L5*C7/B66*B61</f>
        <v>5447.0181099606443</v>
      </c>
      <c r="D28" s="2">
        <f>L5*D7/C66*C61</f>
        <v>6913.5468421789656</v>
      </c>
      <c r="E28" s="159">
        <f>L5*E7/D66*D61</f>
        <v>3649.3068385116753</v>
      </c>
      <c r="F28" s="161">
        <f>L5*F7/F66*F61</f>
        <v>939.82618057812215</v>
      </c>
      <c r="G28" s="204">
        <f t="shared" si="1"/>
        <v>16949.697971229405</v>
      </c>
      <c r="H28" s="11">
        <f t="shared" si="0"/>
        <v>23869.225971229404</v>
      </c>
      <c r="I28" s="4">
        <f>17609+1034</f>
        <v>18643</v>
      </c>
      <c r="J28" s="11">
        <f t="shared" si="2"/>
        <v>5226.2259712294035</v>
      </c>
      <c r="K28" s="87"/>
      <c r="L28" s="210">
        <f t="shared" si="3"/>
        <v>23869.225971229404</v>
      </c>
      <c r="M28" s="216">
        <f t="shared" si="4"/>
        <v>1044.6184231919656</v>
      </c>
      <c r="N28" s="76">
        <f t="shared" si="5"/>
        <v>4770.9826046830703</v>
      </c>
    </row>
    <row r="29" spans="1:14" x14ac:dyDescent="0.25">
      <c r="A29" s="37" t="s">
        <v>1</v>
      </c>
      <c r="B29" s="75">
        <f>E62*E37</f>
        <v>6290.4800000000005</v>
      </c>
      <c r="C29" s="25">
        <f>L5*C7/B66*B62</f>
        <v>4100.2339000823076</v>
      </c>
      <c r="D29" s="2">
        <f>L5*D7/C66*C62</f>
        <v>3691.2328357372912</v>
      </c>
      <c r="E29" s="159">
        <f>L5*E7/D66*D62</f>
        <v>3899.2028213105937</v>
      </c>
      <c r="F29" s="161">
        <f>L5*F7/F66*F62</f>
        <v>2431.1889035786789</v>
      </c>
      <c r="G29" s="204">
        <f t="shared" si="1"/>
        <v>14121.858460708871</v>
      </c>
      <c r="H29" s="11">
        <f t="shared" si="0"/>
        <v>20412.33846070887</v>
      </c>
      <c r="I29" s="4">
        <f>13517+1817</f>
        <v>15334</v>
      </c>
      <c r="J29" s="11">
        <f t="shared" si="2"/>
        <v>5078.3384607088701</v>
      </c>
      <c r="K29" s="87"/>
      <c r="L29" s="210">
        <f t="shared" si="3"/>
        <v>20412.33846070887</v>
      </c>
      <c r="M29" s="216">
        <f t="shared" si="4"/>
        <v>1348.4701170230669</v>
      </c>
      <c r="N29" s="76">
        <f t="shared" si="5"/>
        <v>5420.1642221744205</v>
      </c>
    </row>
    <row r="30" spans="1:14" ht="14.45" x14ac:dyDescent="0.3">
      <c r="A30" s="37" t="s">
        <v>16</v>
      </c>
      <c r="B30" s="75">
        <f>E63*E37</f>
        <v>6705.384</v>
      </c>
      <c r="C30" s="25">
        <f>L5*C7/B66*B63</f>
        <v>4752.3953727719791</v>
      </c>
      <c r="D30" s="2">
        <f>L5*D7/C66*C63</f>
        <v>4657.1254670214248</v>
      </c>
      <c r="E30" s="159">
        <f>L5*E7/D66*D63</f>
        <v>5853.1170446449942</v>
      </c>
      <c r="F30" s="161">
        <f>L5*F7/F66*F63</f>
        <v>3472.8692506785278</v>
      </c>
      <c r="G30" s="204">
        <f t="shared" si="1"/>
        <v>18735.507135116924</v>
      </c>
      <c r="H30" s="147">
        <f t="shared" si="0"/>
        <v>25440.891135116923</v>
      </c>
      <c r="I30" s="4">
        <f>16739+3016</f>
        <v>19755</v>
      </c>
      <c r="J30" s="11">
        <f t="shared" si="2"/>
        <v>5685.8911351169227</v>
      </c>
      <c r="K30" s="87"/>
      <c r="L30" s="210">
        <f t="shared" si="3"/>
        <v>25440.891135116923</v>
      </c>
      <c r="M30" s="216">
        <f t="shared" si="4"/>
        <v>1302.6096529477486</v>
      </c>
      <c r="N30" s="218">
        <f t="shared" si="5"/>
        <v>5828.382848824037</v>
      </c>
    </row>
    <row r="31" spans="1:14" x14ac:dyDescent="0.25">
      <c r="A31" s="37" t="s">
        <v>17</v>
      </c>
      <c r="B31" s="75">
        <f>E64*E37</f>
        <v>0</v>
      </c>
      <c r="C31" s="25">
        <f>L5*C7/B66*B64</f>
        <v>2067.5369559894589</v>
      </c>
      <c r="D31" s="2">
        <f>L5*D7/C66*C64</f>
        <v>1130.2146141996916</v>
      </c>
      <c r="E31" s="159">
        <f>L5*E7/D66*D64</f>
        <v>2229.2174922887225</v>
      </c>
      <c r="F31" s="161">
        <f>L5*F7/F66*F64</f>
        <v>974.38506430527673</v>
      </c>
      <c r="G31" s="204">
        <f t="shared" si="1"/>
        <v>6401.3541267831497</v>
      </c>
      <c r="H31" s="147">
        <f t="shared" si="0"/>
        <v>6401.3541267831497</v>
      </c>
      <c r="I31" s="4">
        <f>4378+795</f>
        <v>5173</v>
      </c>
      <c r="J31" s="11">
        <f t="shared" si="2"/>
        <v>1228.3541267831497</v>
      </c>
      <c r="K31" s="87"/>
      <c r="L31" s="210">
        <f t="shared" si="3"/>
        <v>6401.3541267831497</v>
      </c>
      <c r="M31" s="216">
        <f t="shared" si="4"/>
        <v>646.84261547295932</v>
      </c>
      <c r="N31" s="76">
        <f t="shared" si="5"/>
        <v>3370.9079129979727</v>
      </c>
    </row>
    <row r="32" spans="1:14" ht="15.75" thickBot="1" x14ac:dyDescent="0.3">
      <c r="A32" s="38" t="s">
        <v>10</v>
      </c>
      <c r="B32" s="205">
        <f>E65*E37</f>
        <v>441.67200000000003</v>
      </c>
      <c r="C32" s="102">
        <f>L5*C7/B66*B65</f>
        <v>1571.0667864627642</v>
      </c>
      <c r="D32" s="6">
        <f>L5*D7/C66*C65</f>
        <v>1939.8009690519532</v>
      </c>
      <c r="E32" s="160">
        <f>L5*E7/D66*D65</f>
        <v>926.92107001193233</v>
      </c>
      <c r="F32" s="160">
        <f>L5*F7/F66*F65</f>
        <v>192.62371457414648</v>
      </c>
      <c r="G32" s="27">
        <f t="shared" si="1"/>
        <v>4630.4125401007959</v>
      </c>
      <c r="H32" s="206">
        <f t="shared" si="0"/>
        <v>5072.0845401007955</v>
      </c>
      <c r="I32" s="5">
        <f>4906+198</f>
        <v>5104</v>
      </c>
      <c r="J32" s="12">
        <f t="shared" si="2"/>
        <v>-31.915459899204507</v>
      </c>
      <c r="K32" s="88"/>
      <c r="L32" s="211">
        <f t="shared" si="3"/>
        <v>5072.0845401007955</v>
      </c>
      <c r="M32" s="223">
        <f t="shared" si="4"/>
        <v>-22.117435827584551</v>
      </c>
      <c r="N32" s="89">
        <f t="shared" si="5"/>
        <v>3514.9581012479525</v>
      </c>
    </row>
    <row r="33" spans="1:14" ht="15.6" thickTop="1" thickBot="1" x14ac:dyDescent="0.35">
      <c r="A33" s="96" t="s">
        <v>23</v>
      </c>
      <c r="B33" s="98">
        <f>E66*E37</f>
        <v>411798.91200000001</v>
      </c>
      <c r="C33" s="106">
        <f>L5*C7/B66*B66</f>
        <v>314820.88</v>
      </c>
      <c r="D33" s="107">
        <f>L5*D7/C66*C66</f>
        <v>85860.239999999991</v>
      </c>
      <c r="E33" s="108">
        <f>L5*E7/D66*D66</f>
        <v>178875.5</v>
      </c>
      <c r="F33" s="108">
        <f>L5*F7/F66*F66</f>
        <v>135945.38</v>
      </c>
      <c r="G33" s="207">
        <f>C33+D33+E33+F33</f>
        <v>715502</v>
      </c>
      <c r="H33" s="103">
        <f>SUM(H10:H32)</f>
        <v>1127300.912</v>
      </c>
      <c r="I33" s="99">
        <f>SUM(I10:I32)</f>
        <v>862015</v>
      </c>
      <c r="J33" s="104">
        <f>SUM(J10:J32)</f>
        <v>265285.91199999995</v>
      </c>
      <c r="K33" s="100"/>
      <c r="L33" s="212">
        <f>SUM(L10:L32)</f>
        <v>1127300.912</v>
      </c>
      <c r="M33" s="221">
        <f t="shared" si="4"/>
        <v>917.44275448024939</v>
      </c>
      <c r="N33" s="222">
        <f t="shared" si="5"/>
        <v>3898.5638024886048</v>
      </c>
    </row>
    <row r="34" spans="1:14" ht="14.45" x14ac:dyDescent="0.3">
      <c r="B34" s="155"/>
    </row>
    <row r="35" spans="1:14" ht="14.45" x14ac:dyDescent="0.3">
      <c r="G35" s="155"/>
      <c r="I35" s="155"/>
    </row>
    <row r="37" spans="1:14" ht="15.75" x14ac:dyDescent="0.25">
      <c r="A37" s="7"/>
      <c r="B37" s="7"/>
      <c r="C37" s="395" t="s">
        <v>49</v>
      </c>
      <c r="D37" s="396"/>
      <c r="E37" s="109">
        <v>13.384</v>
      </c>
      <c r="F37" s="32" t="s">
        <v>44</v>
      </c>
    </row>
    <row r="39" spans="1:14" thickBot="1" x14ac:dyDescent="0.35"/>
    <row r="40" spans="1:14" x14ac:dyDescent="0.25">
      <c r="A40" s="412" t="s">
        <v>31</v>
      </c>
      <c r="B40" s="404" t="s">
        <v>78</v>
      </c>
      <c r="C40" s="387" t="s">
        <v>41</v>
      </c>
      <c r="D40" s="387" t="s">
        <v>42</v>
      </c>
      <c r="E40" s="387" t="s">
        <v>53</v>
      </c>
      <c r="F40" s="407" t="s">
        <v>45</v>
      </c>
    </row>
    <row r="41" spans="1:14" x14ac:dyDescent="0.25">
      <c r="A41" s="413"/>
      <c r="B41" s="405"/>
      <c r="C41" s="388"/>
      <c r="D41" s="388"/>
      <c r="E41" s="388"/>
      <c r="F41" s="408"/>
    </row>
    <row r="42" spans="1:14" ht="15.75" thickBot="1" x14ac:dyDescent="0.3">
      <c r="A42" s="414"/>
      <c r="B42" s="406"/>
      <c r="C42" s="389"/>
      <c r="D42" s="389"/>
      <c r="E42" s="389"/>
      <c r="F42" s="415"/>
    </row>
    <row r="43" spans="1:14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4748</v>
      </c>
      <c r="F43" s="167">
        <v>2209841.41</v>
      </c>
    </row>
    <row r="44" spans="1:14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1772</v>
      </c>
      <c r="F44" s="168">
        <v>2071749.43</v>
      </c>
    </row>
    <row r="45" spans="1:14" ht="14.45" x14ac:dyDescent="0.3">
      <c r="A45" s="172" t="s">
        <v>8</v>
      </c>
      <c r="B45" s="177">
        <v>101991</v>
      </c>
      <c r="C45" s="47">
        <v>16.32</v>
      </c>
      <c r="D45" s="48">
        <v>1808890</v>
      </c>
      <c r="E45" s="48">
        <v>10722</v>
      </c>
      <c r="F45" s="168">
        <v>4857500</v>
      </c>
    </row>
    <row r="46" spans="1:14" ht="14.45" x14ac:dyDescent="0.3">
      <c r="A46" s="172" t="s">
        <v>11</v>
      </c>
      <c r="B46" s="177">
        <v>64484</v>
      </c>
      <c r="C46" s="47">
        <v>13.18</v>
      </c>
      <c r="D46" s="48">
        <v>1026474</v>
      </c>
      <c r="E46" s="48">
        <v>7566</v>
      </c>
      <c r="F46" s="168">
        <v>3328500</v>
      </c>
    </row>
    <row r="47" spans="1:14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4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585</v>
      </c>
      <c r="F49" s="168">
        <v>84513.73</v>
      </c>
    </row>
    <row r="50" spans="1:6" ht="14.45" x14ac:dyDescent="0.3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825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ht="14.45" x14ac:dyDescent="0.3">
      <c r="A53" s="172" t="s">
        <v>3</v>
      </c>
      <c r="B53" s="177">
        <v>1347</v>
      </c>
      <c r="C53" s="47">
        <v>2.14</v>
      </c>
      <c r="D53" s="48">
        <v>37028</v>
      </c>
      <c r="E53" s="48">
        <v>131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188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ht="14.45" x14ac:dyDescent="0.3">
      <c r="A56" s="172" t="s">
        <v>12</v>
      </c>
      <c r="B56" s="177">
        <v>1232</v>
      </c>
      <c r="C56" s="47">
        <v>3.43</v>
      </c>
      <c r="D56" s="48">
        <v>32045</v>
      </c>
      <c r="E56" s="48">
        <v>144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416</v>
      </c>
      <c r="F57" s="168">
        <v>212558.84</v>
      </c>
    </row>
    <row r="58" spans="1:6" ht="14.45" x14ac:dyDescent="0.3">
      <c r="A58" s="173" t="s">
        <v>34</v>
      </c>
      <c r="B58" s="177">
        <v>6312</v>
      </c>
      <c r="C58" s="47">
        <v>16.66</v>
      </c>
      <c r="D58" s="48">
        <v>320985</v>
      </c>
      <c r="E58" s="48">
        <v>585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339</v>
      </c>
      <c r="F59" s="168">
        <v>60502.71</v>
      </c>
    </row>
    <row r="60" spans="1:6" ht="14.45" x14ac:dyDescent="0.3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ht="14.45" x14ac:dyDescent="0.3">
      <c r="A61" s="172" t="s">
        <v>35</v>
      </c>
      <c r="B61" s="177">
        <v>5003</v>
      </c>
      <c r="C61" s="47">
        <v>17.25</v>
      </c>
      <c r="D61" s="48">
        <v>147654</v>
      </c>
      <c r="E61" s="48">
        <v>517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470</v>
      </c>
      <c r="F62" s="168">
        <v>297828.15000000002</v>
      </c>
    </row>
    <row r="63" spans="1:6" ht="14.45" x14ac:dyDescent="0.3">
      <c r="A63" s="172" t="s">
        <v>16</v>
      </c>
      <c r="B63" s="177">
        <v>4365</v>
      </c>
      <c r="C63" s="47">
        <v>11.62</v>
      </c>
      <c r="D63" s="48">
        <v>236822</v>
      </c>
      <c r="E63" s="48">
        <v>501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33</v>
      </c>
      <c r="F65" s="169">
        <v>23597</v>
      </c>
    </row>
    <row r="66" spans="1:6" ht="15.6" thickTop="1" thickBot="1" x14ac:dyDescent="0.35">
      <c r="A66" s="175" t="s">
        <v>36</v>
      </c>
      <c r="B66" s="41">
        <f t="shared" ref="B66:D66" si="6">SUM(B43:B65)</f>
        <v>289158</v>
      </c>
      <c r="C66" s="42">
        <f t="shared" si="6"/>
        <v>214.23000000000002</v>
      </c>
      <c r="D66" s="43">
        <f t="shared" si="6"/>
        <v>7237452</v>
      </c>
      <c r="E66" s="44">
        <f>SUM(E43:E65)</f>
        <v>30768</v>
      </c>
      <c r="F66" s="170">
        <f>SUM(F43:F65)</f>
        <v>16653728.949999999</v>
      </c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G46" sqref="G4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3" max="13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88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1140065</v>
      </c>
    </row>
    <row r="3" spans="1:14" ht="18" x14ac:dyDescent="0.35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85</v>
      </c>
      <c r="K4" s="7"/>
      <c r="L4" s="231">
        <v>412040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93">
        <v>728025</v>
      </c>
      <c r="N5" s="155"/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</row>
    <row r="7" spans="1:14" ht="15.75" thickBot="1" x14ac:dyDescent="0.3">
      <c r="C7" s="232">
        <v>0.44</v>
      </c>
      <c r="D7" s="233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90" t="s">
        <v>31</v>
      </c>
      <c r="B8" s="226">
        <v>1</v>
      </c>
      <c r="C8" s="397" t="s">
        <v>38</v>
      </c>
      <c r="D8" s="399" t="s">
        <v>39</v>
      </c>
      <c r="E8" s="399" t="s">
        <v>40</v>
      </c>
      <c r="F8" s="234"/>
      <c r="G8" s="234"/>
      <c r="H8" s="193">
        <v>3</v>
      </c>
      <c r="I8" s="16">
        <v>4</v>
      </c>
      <c r="J8" s="9">
        <v>5</v>
      </c>
      <c r="K8" s="90">
        <v>6</v>
      </c>
      <c r="L8" s="82">
        <v>7</v>
      </c>
    </row>
    <row r="9" spans="1:14" ht="60.75" thickBot="1" x14ac:dyDescent="0.3">
      <c r="A9" s="391"/>
      <c r="B9" s="227" t="s">
        <v>74</v>
      </c>
      <c r="C9" s="398"/>
      <c r="D9" s="400"/>
      <c r="E9" s="400"/>
      <c r="F9" s="157" t="s">
        <v>66</v>
      </c>
      <c r="G9" s="157" t="s">
        <v>43</v>
      </c>
      <c r="H9" s="194" t="s">
        <v>79</v>
      </c>
      <c r="I9" s="17" t="s">
        <v>89</v>
      </c>
      <c r="J9" s="71" t="s">
        <v>86</v>
      </c>
      <c r="K9" s="91" t="s">
        <v>68</v>
      </c>
      <c r="L9" s="83" t="s">
        <v>72</v>
      </c>
    </row>
    <row r="10" spans="1:14" x14ac:dyDescent="0.25">
      <c r="A10" s="39" t="s">
        <v>19</v>
      </c>
      <c r="B10" s="228">
        <f>E43*E37</f>
        <v>63948.752</v>
      </c>
      <c r="C10" s="23">
        <f>L5*C7/B66*B43</f>
        <v>40904.63291349366</v>
      </c>
      <c r="D10" s="1">
        <f>L5*D7/C66*C43</f>
        <v>5399.2723708164121</v>
      </c>
      <c r="E10" s="158">
        <f>L5*E7/D66*D43</f>
        <v>27047.200872627549</v>
      </c>
      <c r="F10" s="158">
        <f>L5*F7/F66*F43</f>
        <v>18354.793781959415</v>
      </c>
      <c r="G10" s="204">
        <f>C10+D10+E10+F10</f>
        <v>91705.899938897026</v>
      </c>
      <c r="H10" s="224">
        <f t="shared" ref="H10:H32" si="0">B10+G10</f>
        <v>155654.65193889703</v>
      </c>
      <c r="I10" s="3">
        <f>99746+18010</f>
        <v>117756</v>
      </c>
      <c r="J10" s="94">
        <f>SUM(H10-I10)</f>
        <v>37898.651938897034</v>
      </c>
      <c r="K10" s="86"/>
      <c r="L10" s="92">
        <f>H10</f>
        <v>155654.65193889703</v>
      </c>
      <c r="M10" s="155"/>
    </row>
    <row r="11" spans="1:14" x14ac:dyDescent="0.25">
      <c r="A11" s="37" t="s">
        <v>14</v>
      </c>
      <c r="B11" s="228">
        <f>E44*E37</f>
        <v>23662.912</v>
      </c>
      <c r="C11" s="25">
        <f>L5*C7/B66*B44</f>
        <v>22943.772404706076</v>
      </c>
      <c r="D11" s="2">
        <f>L5*D7/C66*C44</f>
        <v>17021.573169023945</v>
      </c>
      <c r="E11" s="159">
        <f>L5*E7/D66*D44</f>
        <v>21350.185143714942</v>
      </c>
      <c r="F11" s="161">
        <f>L5*F7/F66*F44</f>
        <v>17207.811105115441</v>
      </c>
      <c r="G11" s="204">
        <f t="shared" ref="G11:G32" si="1">C11+D11+E11+F11</f>
        <v>78523.341822560411</v>
      </c>
      <c r="H11" s="195">
        <f t="shared" si="0"/>
        <v>102186.25382256041</v>
      </c>
      <c r="I11" s="4">
        <f>64558+12203</f>
        <v>76761</v>
      </c>
      <c r="J11" s="11">
        <f t="shared" ref="J11:J32" si="2">SUM(H11-I11)</f>
        <v>25425.253822560408</v>
      </c>
      <c r="K11" s="87"/>
      <c r="L11" s="92">
        <f t="shared" ref="L11:L32" si="3">H11</f>
        <v>102186.25382256041</v>
      </c>
      <c r="M11" s="155"/>
    </row>
    <row r="12" spans="1:14" ht="14.45" x14ac:dyDescent="0.3">
      <c r="A12" s="37" t="s">
        <v>8</v>
      </c>
      <c r="B12" s="228">
        <f>E45*E37</f>
        <v>143570.16800000001</v>
      </c>
      <c r="C12" s="25">
        <f>L5*C7/B66*B45</f>
        <v>112986.25326292199</v>
      </c>
      <c r="D12" s="2">
        <f>L5*D7/C66*C45</f>
        <v>6655.2964570788399</v>
      </c>
      <c r="E12" s="159">
        <f>L5*E7/D66*D45</f>
        <v>45489.667573961109</v>
      </c>
      <c r="F12" s="161">
        <f>L5*F7/F66*F45</f>
        <v>40346.067546932187</v>
      </c>
      <c r="G12" s="204">
        <f t="shared" si="1"/>
        <v>205477.28484089416</v>
      </c>
      <c r="H12" s="196">
        <f t="shared" si="0"/>
        <v>349047.45284089417</v>
      </c>
      <c r="I12" s="4">
        <f>225338+34245</f>
        <v>259583</v>
      </c>
      <c r="J12" s="95">
        <f t="shared" si="2"/>
        <v>89464.45284089417</v>
      </c>
      <c r="K12" s="87"/>
      <c r="L12" s="92">
        <f t="shared" si="3"/>
        <v>349047.45284089417</v>
      </c>
      <c r="M12" s="155"/>
    </row>
    <row r="13" spans="1:14" ht="14.45" x14ac:dyDescent="0.3">
      <c r="A13" s="37" t="s">
        <v>11</v>
      </c>
      <c r="B13" s="228">
        <f>E46*E37</f>
        <v>100875.208</v>
      </c>
      <c r="C13" s="25">
        <f>L5*C7/B66*B46</f>
        <v>71435.769385595413</v>
      </c>
      <c r="D13" s="2">
        <f>L5*D7/C66*C46</f>
        <v>5374.8043691359753</v>
      </c>
      <c r="E13" s="159">
        <f>L5*E7/D66*D46</f>
        <v>25813.5989658377</v>
      </c>
      <c r="F13" s="161">
        <f>L5*F7/F66*F46</f>
        <v>27646.296619652861</v>
      </c>
      <c r="G13" s="204">
        <f t="shared" si="1"/>
        <v>130270.46934022196</v>
      </c>
      <c r="H13" s="196">
        <f t="shared" si="0"/>
        <v>231145.67734022194</v>
      </c>
      <c r="I13" s="4">
        <f>147946+26195</f>
        <v>174141</v>
      </c>
      <c r="J13" s="11">
        <f t="shared" si="2"/>
        <v>57004.677340221941</v>
      </c>
      <c r="K13" s="87"/>
      <c r="L13" s="92">
        <f t="shared" si="3"/>
        <v>231145.67734022194</v>
      </c>
      <c r="M13" s="155"/>
    </row>
    <row r="14" spans="1:14" x14ac:dyDescent="0.25">
      <c r="A14" s="37" t="s">
        <v>6</v>
      </c>
      <c r="B14" s="228">
        <f>E47*E37</f>
        <v>2074.52</v>
      </c>
      <c r="C14" s="25">
        <f>L5*C7/B66*B47</f>
        <v>2254.3854397941609</v>
      </c>
      <c r="D14" s="2">
        <f>L5*D7/C66*C47</f>
        <v>2928.0042010922839</v>
      </c>
      <c r="E14" s="159">
        <f>L5*E7/D66*D47</f>
        <v>1356.6251164774562</v>
      </c>
      <c r="F14" s="161">
        <f>L5*F7/F66*F47</f>
        <v>724.30722304388178</v>
      </c>
      <c r="G14" s="204">
        <f t="shared" si="1"/>
        <v>7263.3219804077826</v>
      </c>
      <c r="H14" s="196">
        <f t="shared" si="0"/>
        <v>9337.8419804077821</v>
      </c>
      <c r="I14" s="4">
        <f>6509+503</f>
        <v>7012</v>
      </c>
      <c r="J14" s="11">
        <f t="shared" si="2"/>
        <v>2325.8419804077821</v>
      </c>
      <c r="K14" s="87"/>
      <c r="L14" s="92">
        <f t="shared" si="3"/>
        <v>9337.8419804077821</v>
      </c>
      <c r="M14" s="155"/>
    </row>
    <row r="15" spans="1:14" x14ac:dyDescent="0.25">
      <c r="A15" s="37" t="s">
        <v>18</v>
      </c>
      <c r="B15" s="228">
        <f>E48*E37</f>
        <v>7561.96</v>
      </c>
      <c r="C15" s="25">
        <f>L5*C7/B66*B48</f>
        <v>8501.3041105554748</v>
      </c>
      <c r="D15" s="2">
        <f>L5*D7/C66*C48</f>
        <v>2638.4661812071136</v>
      </c>
      <c r="E15" s="159">
        <f>L5*E7/D66*D48</f>
        <v>8134.9223145106862</v>
      </c>
      <c r="F15" s="161">
        <f>L5*F7/F66*F48</f>
        <v>3895.6411932728133</v>
      </c>
      <c r="G15" s="204">
        <f t="shared" si="1"/>
        <v>23170.33379954609</v>
      </c>
      <c r="H15" s="196">
        <f t="shared" si="0"/>
        <v>30732.293799546089</v>
      </c>
      <c r="I15" s="4">
        <f>20191+3002</f>
        <v>23193</v>
      </c>
      <c r="J15" s="11">
        <f t="shared" si="2"/>
        <v>7539.2937995460888</v>
      </c>
      <c r="K15" s="87"/>
      <c r="L15" s="92">
        <f t="shared" si="3"/>
        <v>30732.293799546089</v>
      </c>
      <c r="M15" s="155"/>
    </row>
    <row r="16" spans="1:14" x14ac:dyDescent="0.25">
      <c r="A16" s="37" t="s">
        <v>15</v>
      </c>
      <c r="B16" s="228">
        <f>E49*E37</f>
        <v>7749.3360000000002</v>
      </c>
      <c r="C16" s="25">
        <f>L5*C7/B66*B49</f>
        <v>4545.3284813147138</v>
      </c>
      <c r="D16" s="2">
        <f>L5*D7/C66*C49</f>
        <v>5680.6543901414361</v>
      </c>
      <c r="E16" s="159">
        <f>L5*E7/D66*D49</f>
        <v>3815.5804401189807</v>
      </c>
      <c r="F16" s="161">
        <f>L5*F7/F66*F49</f>
        <v>701.96534415299823</v>
      </c>
      <c r="G16" s="204">
        <f t="shared" si="1"/>
        <v>14743.528655728129</v>
      </c>
      <c r="H16" s="196">
        <f t="shared" si="0"/>
        <v>22492.864655728128</v>
      </c>
      <c r="I16" s="4">
        <f>16313+600</f>
        <v>16913</v>
      </c>
      <c r="J16" s="11">
        <f t="shared" si="2"/>
        <v>5579.8646557281281</v>
      </c>
      <c r="K16" s="87"/>
      <c r="L16" s="92">
        <f t="shared" si="3"/>
        <v>22492.864655728128</v>
      </c>
      <c r="M16" s="155"/>
    </row>
    <row r="17" spans="1:13" ht="14.45" x14ac:dyDescent="0.3">
      <c r="A17" s="37" t="s">
        <v>13</v>
      </c>
      <c r="B17" s="228">
        <f>E50*E37</f>
        <v>0</v>
      </c>
      <c r="C17" s="25">
        <f>L5*C7/B66*B50</f>
        <v>1421.3152428775961</v>
      </c>
      <c r="D17" s="2">
        <f>L5*D7/C66*C50</f>
        <v>436.34602996779165</v>
      </c>
      <c r="E17" s="159">
        <f>L5*E7/D66*D50</f>
        <v>1545.4602108241961</v>
      </c>
      <c r="F17" s="161">
        <f>L5*F7/F66*F50</f>
        <v>1412.0085399852746</v>
      </c>
      <c r="G17" s="204">
        <f t="shared" si="1"/>
        <v>4815.1300236548586</v>
      </c>
      <c r="H17" s="195">
        <f t="shared" si="0"/>
        <v>4815.1300236548586</v>
      </c>
      <c r="I17" s="4">
        <f>3125+1137</f>
        <v>4262</v>
      </c>
      <c r="J17" s="11">
        <f t="shared" si="2"/>
        <v>553.13002365485863</v>
      </c>
      <c r="K17" s="87"/>
      <c r="L17" s="92">
        <f t="shared" si="3"/>
        <v>4815.1300236548586</v>
      </c>
      <c r="M17" s="155"/>
    </row>
    <row r="18" spans="1:13" x14ac:dyDescent="0.25">
      <c r="A18" s="37" t="s">
        <v>20</v>
      </c>
      <c r="B18" s="228">
        <f>E51*E37</f>
        <v>10961.496000000001</v>
      </c>
      <c r="C18" s="25">
        <f>L5*C7/B66*B51</f>
        <v>13199.50983545328</v>
      </c>
      <c r="D18" s="2">
        <f>L5*D7/C66*C51</f>
        <v>2997.3302058535214</v>
      </c>
      <c r="E18" s="159">
        <f>L5*E7/D66*D51</f>
        <v>9441.3020563037917</v>
      </c>
      <c r="F18" s="161">
        <f>L5*F7/F66*F51</f>
        <v>6436.8342085742006</v>
      </c>
      <c r="G18" s="204">
        <f t="shared" si="1"/>
        <v>32074.976306184795</v>
      </c>
      <c r="H18" s="196">
        <f t="shared" si="0"/>
        <v>43036.472306184798</v>
      </c>
      <c r="I18" s="4">
        <f>27589+4820</f>
        <v>32409</v>
      </c>
      <c r="J18" s="11">
        <f t="shared" si="2"/>
        <v>10627.472306184798</v>
      </c>
      <c r="K18" s="87"/>
      <c r="L18" s="92">
        <f t="shared" si="3"/>
        <v>43036.472306184798</v>
      </c>
      <c r="M18" s="155"/>
    </row>
    <row r="19" spans="1:13" x14ac:dyDescent="0.25">
      <c r="A19" s="37" t="s">
        <v>9</v>
      </c>
      <c r="B19" s="228">
        <f>E52*E37</f>
        <v>6397.5520000000006</v>
      </c>
      <c r="C19" s="25">
        <f>L5*C7/B66*B52</f>
        <v>3482.9424190235095</v>
      </c>
      <c r="D19" s="2">
        <f>L5*D7/C66*C52</f>
        <v>1590.4201092283993</v>
      </c>
      <c r="E19" s="159">
        <f>L5*E7/D66*D52</f>
        <v>2191.1811746730755</v>
      </c>
      <c r="F19" s="161">
        <f>L5*F7/F66*F52</f>
        <v>1543.7467772234277</v>
      </c>
      <c r="G19" s="204">
        <f t="shared" si="1"/>
        <v>8808.290480148411</v>
      </c>
      <c r="H19" s="196">
        <f t="shared" si="0"/>
        <v>15205.842480148411</v>
      </c>
      <c r="I19" s="4">
        <f>9920+721</f>
        <v>10641</v>
      </c>
      <c r="J19" s="11">
        <f t="shared" si="2"/>
        <v>4564.8424801484107</v>
      </c>
      <c r="K19" s="87"/>
      <c r="L19" s="92">
        <f t="shared" si="3"/>
        <v>15205.842480148411</v>
      </c>
      <c r="M19" s="155"/>
    </row>
    <row r="20" spans="1:13" ht="14.45" x14ac:dyDescent="0.3">
      <c r="A20" s="37" t="s">
        <v>3</v>
      </c>
      <c r="B20" s="228">
        <f>E53*E37</f>
        <v>1646.232</v>
      </c>
      <c r="C20" s="25">
        <f>L5*C7/B66*B53</f>
        <v>1492.2148341045379</v>
      </c>
      <c r="D20" s="2">
        <f>L5*D7/C66*C53</f>
        <v>872.6920599355833</v>
      </c>
      <c r="E20" s="159">
        <f>L5*E7/D66*D53</f>
        <v>931.17404094700726</v>
      </c>
      <c r="F20" s="161">
        <f>L5*F7/F66*F53</f>
        <v>290.84884143920215</v>
      </c>
      <c r="G20" s="204">
        <f t="shared" si="1"/>
        <v>3586.9297764263306</v>
      </c>
      <c r="H20" s="196">
        <f t="shared" si="0"/>
        <v>5233.1617764263301</v>
      </c>
      <c r="I20" s="4">
        <f>5873+290</f>
        <v>6163</v>
      </c>
      <c r="J20" s="11">
        <f t="shared" si="2"/>
        <v>-929.83822357366989</v>
      </c>
      <c r="K20" s="87"/>
      <c r="L20" s="92">
        <f t="shared" si="3"/>
        <v>5233.1617764263301</v>
      </c>
      <c r="M20" s="155"/>
    </row>
    <row r="21" spans="1:13" x14ac:dyDescent="0.25">
      <c r="A21" s="37" t="s">
        <v>0</v>
      </c>
      <c r="B21" s="228">
        <f>E54*E37</f>
        <v>2542.96</v>
      </c>
      <c r="C21" s="25">
        <f>L5*C7/B66*B54</f>
        <v>1815.6942190774591</v>
      </c>
      <c r="D21" s="2">
        <f>L5*D7/C66*C54</f>
        <v>2161.340148438594</v>
      </c>
      <c r="E21" s="159">
        <f>L5*E7/D66*D54</f>
        <v>1857.3688105288986</v>
      </c>
      <c r="F21" s="161">
        <f>L5*F7/F66*F54</f>
        <v>1224.2357405497162</v>
      </c>
      <c r="G21" s="204">
        <f t="shared" si="1"/>
        <v>7058.6389185946673</v>
      </c>
      <c r="H21" s="196">
        <f t="shared" si="0"/>
        <v>9601.5989185946673</v>
      </c>
      <c r="I21" s="4">
        <f>8224+898</f>
        <v>9122</v>
      </c>
      <c r="J21" s="11">
        <f t="shared" si="2"/>
        <v>479.59891859466734</v>
      </c>
      <c r="K21" s="87"/>
      <c r="L21" s="92">
        <f t="shared" si="3"/>
        <v>9601.5989185946673</v>
      </c>
      <c r="M21" s="155"/>
    </row>
    <row r="22" spans="1:13" x14ac:dyDescent="0.25">
      <c r="A22" s="37" t="s">
        <v>7</v>
      </c>
      <c r="B22" s="228">
        <f>E55*E37</f>
        <v>0</v>
      </c>
      <c r="C22" s="25">
        <f>L5*C7/B66*B55</f>
        <v>785.43453406096319</v>
      </c>
      <c r="D22" s="2">
        <f>L5*D7/C66*C55</f>
        <v>1251.9460859823553</v>
      </c>
      <c r="E22" s="159">
        <f>L5*E7/D66*D55</f>
        <v>1167.1110305809282</v>
      </c>
      <c r="F22" s="161">
        <f>L5*F7/F66*F55</f>
        <v>2980.9992058865591</v>
      </c>
      <c r="G22" s="204">
        <f t="shared" si="1"/>
        <v>6185.4908565108053</v>
      </c>
      <c r="H22" s="196">
        <f t="shared" si="0"/>
        <v>6185.4908565108053</v>
      </c>
      <c r="I22" s="4">
        <f>3051+1547</f>
        <v>4598</v>
      </c>
      <c r="J22" s="11">
        <f t="shared" si="2"/>
        <v>1587.4908565108053</v>
      </c>
      <c r="K22" s="87"/>
      <c r="L22" s="92">
        <f t="shared" si="3"/>
        <v>6185.4908565108053</v>
      </c>
      <c r="M22" s="155"/>
    </row>
    <row r="23" spans="1:13" ht="14.45" x14ac:dyDescent="0.3">
      <c r="A23" s="37" t="s">
        <v>12</v>
      </c>
      <c r="B23" s="228">
        <f>E56*E37</f>
        <v>1900.528</v>
      </c>
      <c r="C23" s="25">
        <f>L5*C7/B66*B56</f>
        <v>1364.817131118627</v>
      </c>
      <c r="D23" s="2">
        <f>L5*D7/C66*C56</f>
        <v>1398.7540960649769</v>
      </c>
      <c r="E23" s="159">
        <f>L5*E7/D66*D56</f>
        <v>805.86237825825992</v>
      </c>
      <c r="F23" s="161">
        <f>L5*F7/F66*F56</f>
        <v>1436.7824789972938</v>
      </c>
      <c r="G23" s="204">
        <f t="shared" si="1"/>
        <v>5006.2160844391574</v>
      </c>
      <c r="H23" s="196">
        <f t="shared" si="0"/>
        <v>6906.7440844391576</v>
      </c>
      <c r="I23" s="4">
        <f>4768+600</f>
        <v>5368</v>
      </c>
      <c r="J23" s="11">
        <f t="shared" si="2"/>
        <v>1538.7440844391576</v>
      </c>
      <c r="K23" s="87"/>
      <c r="L23" s="92">
        <f t="shared" si="3"/>
        <v>6906.7440844391576</v>
      </c>
      <c r="M23" s="155"/>
    </row>
    <row r="24" spans="1:13" x14ac:dyDescent="0.25">
      <c r="A24" s="37" t="s">
        <v>5</v>
      </c>
      <c r="B24" s="228">
        <f>E57*E37</f>
        <v>5554.3600000000006</v>
      </c>
      <c r="C24" s="25">
        <f>L5*C7/B66*B57</f>
        <v>3734.4144066565682</v>
      </c>
      <c r="D24" s="2">
        <f>L5*D7/C66*C57</f>
        <v>1178.5420809410446</v>
      </c>
      <c r="E24" s="159">
        <f>L5*E7/D66*D57</f>
        <v>3123.8389378955467</v>
      </c>
      <c r="F24" s="161">
        <f>L5*F7/F66*F57</f>
        <v>1765.4993960550798</v>
      </c>
      <c r="G24" s="204">
        <f t="shared" si="1"/>
        <v>9802.2948215482393</v>
      </c>
      <c r="H24" s="196">
        <f t="shared" si="0"/>
        <v>15356.65482154824</v>
      </c>
      <c r="I24" s="4">
        <f>10009+1320</f>
        <v>11329</v>
      </c>
      <c r="J24" s="11">
        <f t="shared" si="2"/>
        <v>4027.6548215482399</v>
      </c>
      <c r="K24" s="87"/>
      <c r="L24" s="92">
        <f t="shared" si="3"/>
        <v>15356.65482154824</v>
      </c>
      <c r="M24" s="155"/>
    </row>
    <row r="25" spans="1:13" ht="14.45" x14ac:dyDescent="0.3">
      <c r="A25" s="36" t="s">
        <v>21</v>
      </c>
      <c r="B25" s="228">
        <f>E58*E37</f>
        <v>8150.8559999999998</v>
      </c>
      <c r="C25" s="25">
        <f>L5*C7/B66*B58</f>
        <v>6992.4721847571218</v>
      </c>
      <c r="D25" s="2">
        <f>L5*D7/C66*C58</f>
        <v>6793.9484666013159</v>
      </c>
      <c r="E25" s="159">
        <f>L5*E7/D66*D58</f>
        <v>8072.0778744024828</v>
      </c>
      <c r="F25" s="161">
        <f>L5*F7/F66*F58</f>
        <v>3113.2444372498931</v>
      </c>
      <c r="G25" s="204">
        <f t="shared" si="1"/>
        <v>24971.742963010816</v>
      </c>
      <c r="H25" s="196">
        <f t="shared" si="0"/>
        <v>33122.598963010816</v>
      </c>
      <c r="I25" s="4">
        <f>22557+2860</f>
        <v>25417</v>
      </c>
      <c r="J25" s="11">
        <f t="shared" si="2"/>
        <v>7705.5989630108161</v>
      </c>
      <c r="K25" s="87"/>
      <c r="L25" s="92">
        <f t="shared" si="3"/>
        <v>33122.598963010816</v>
      </c>
      <c r="M25" s="155"/>
    </row>
    <row r="26" spans="1:13" x14ac:dyDescent="0.25">
      <c r="A26" s="37" t="s">
        <v>2</v>
      </c>
      <c r="B26" s="228">
        <f>E59*E37</f>
        <v>4470.2560000000003</v>
      </c>
      <c r="C26" s="25">
        <f>L5*C7/B66*B59</f>
        <v>2951.1954848214468</v>
      </c>
      <c r="D26" s="2">
        <f>L5*D7/C66*C59</f>
        <v>2687.4021845679877</v>
      </c>
      <c r="E26" s="159">
        <f>L5*E7/D66*D59</f>
        <v>1666.7482198845671</v>
      </c>
      <c r="F26" s="161">
        <f>L5*F7/F66*F59</f>
        <v>502.53143066030867</v>
      </c>
      <c r="G26" s="204">
        <f t="shared" si="1"/>
        <v>7807.8773199343104</v>
      </c>
      <c r="H26" s="196">
        <f t="shared" si="0"/>
        <v>12278.13331993431</v>
      </c>
      <c r="I26" s="4">
        <f>8717+473</f>
        <v>9190</v>
      </c>
      <c r="J26" s="11">
        <f t="shared" si="2"/>
        <v>3088.1333199343098</v>
      </c>
      <c r="K26" s="87"/>
      <c r="L26" s="92">
        <f t="shared" si="3"/>
        <v>12278.13331993431</v>
      </c>
      <c r="M26" s="155"/>
    </row>
    <row r="27" spans="1:13" ht="14.45" x14ac:dyDescent="0.3">
      <c r="A27" s="37" t="s">
        <v>4</v>
      </c>
      <c r="B27" s="228">
        <f>E60*E37</f>
        <v>374.75200000000001</v>
      </c>
      <c r="C27" s="25">
        <f>L5*C7/B66*B60</f>
        <v>1267.3301931815822</v>
      </c>
      <c r="D27" s="2">
        <f>L5*D7/C66*C60</f>
        <v>1643.4341128693461</v>
      </c>
      <c r="E27" s="159">
        <f>L5*E7/D66*D60</f>
        <v>1348.7789919021225</v>
      </c>
      <c r="F27" s="161">
        <f>L5*F7/F66*F60</f>
        <v>590.03318458656668</v>
      </c>
      <c r="G27" s="204">
        <f t="shared" si="1"/>
        <v>4849.5764825396172</v>
      </c>
      <c r="H27" s="196">
        <f t="shared" si="0"/>
        <v>5224.3284825396177</v>
      </c>
      <c r="I27" s="4">
        <f>3661+487</f>
        <v>4148</v>
      </c>
      <c r="J27" s="11">
        <f t="shared" si="2"/>
        <v>1076.3284825396177</v>
      </c>
      <c r="K27" s="87"/>
      <c r="L27" s="92">
        <f t="shared" si="3"/>
        <v>5224.3284825396177</v>
      </c>
      <c r="M27" s="155"/>
    </row>
    <row r="28" spans="1:13" ht="14.45" x14ac:dyDescent="0.3">
      <c r="A28" s="37" t="s">
        <v>22</v>
      </c>
      <c r="B28" s="228">
        <f>E61*E37</f>
        <v>6799.0720000000001</v>
      </c>
      <c r="C28" s="25">
        <f>L5*C7/B66*B61</f>
        <v>5542.3539829435804</v>
      </c>
      <c r="D28" s="2">
        <f>L5*D7/C66*C61</f>
        <v>7034.5504831256121</v>
      </c>
      <c r="E28" s="159">
        <f>L5*E7/D66*D61</f>
        <v>3713.1784552768017</v>
      </c>
      <c r="F28" s="161">
        <f>L5*F7/F66*F61</f>
        <v>956.27539142502383</v>
      </c>
      <c r="G28" s="204">
        <f t="shared" si="1"/>
        <v>17246.358312771019</v>
      </c>
      <c r="H28" s="196">
        <f t="shared" si="0"/>
        <v>24045.430312771019</v>
      </c>
      <c r="I28" s="4">
        <f>17609+1034</f>
        <v>18643</v>
      </c>
      <c r="J28" s="11">
        <f t="shared" si="2"/>
        <v>5402.4303127710191</v>
      </c>
      <c r="K28" s="87"/>
      <c r="L28" s="92">
        <f t="shared" si="3"/>
        <v>24045.430312771019</v>
      </c>
      <c r="M28" s="155"/>
    </row>
    <row r="29" spans="1:13" x14ac:dyDescent="0.25">
      <c r="A29" s="37" t="s">
        <v>1</v>
      </c>
      <c r="B29" s="228">
        <f>E62*E37</f>
        <v>6263.7120000000004</v>
      </c>
      <c r="C29" s="25">
        <f>L5*C7/B66*B62</f>
        <v>4171.9978212603482</v>
      </c>
      <c r="D29" s="2">
        <f>L5*D7/C66*C62</f>
        <v>3755.8382579470663</v>
      </c>
      <c r="E29" s="159">
        <f>L5*E7/D66*D62</f>
        <v>3967.4482167550123</v>
      </c>
      <c r="F29" s="161">
        <f>L5*F7/F66*F62</f>
        <v>2473.7405367530318</v>
      </c>
      <c r="G29" s="204">
        <f t="shared" si="1"/>
        <v>14369.024832715459</v>
      </c>
      <c r="H29" s="196">
        <f t="shared" si="0"/>
        <v>20632.736832715458</v>
      </c>
      <c r="I29" s="4">
        <f>13517+1817</f>
        <v>15334</v>
      </c>
      <c r="J29" s="11">
        <f t="shared" si="2"/>
        <v>5298.7368327154581</v>
      </c>
      <c r="K29" s="87"/>
      <c r="L29" s="92">
        <f t="shared" si="3"/>
        <v>20632.736832715458</v>
      </c>
      <c r="M29" s="155"/>
    </row>
    <row r="30" spans="1:13" ht="14.45" x14ac:dyDescent="0.3">
      <c r="A30" s="37" t="s">
        <v>16</v>
      </c>
      <c r="B30" s="228">
        <f>E63*E37</f>
        <v>7013.2160000000003</v>
      </c>
      <c r="C30" s="25">
        <f>L5*C7/B66*B63</f>
        <v>4835.5736829000061</v>
      </c>
      <c r="D30" s="2">
        <f>L5*D7/C66*C63</f>
        <v>4738.6363254446151</v>
      </c>
      <c r="E30" s="159">
        <f>L5*E7/D66*D63</f>
        <v>5955.5606223709665</v>
      </c>
      <c r="F30" s="161">
        <f>L5*F7/F66*F63</f>
        <v>3533.6527867500513</v>
      </c>
      <c r="G30" s="204">
        <f t="shared" si="1"/>
        <v>19063.423417465638</v>
      </c>
      <c r="H30" s="195">
        <f t="shared" si="0"/>
        <v>26076.639417465638</v>
      </c>
      <c r="I30" s="4">
        <f>16739+3016</f>
        <v>19755</v>
      </c>
      <c r="J30" s="11">
        <f t="shared" si="2"/>
        <v>6321.639417465638</v>
      </c>
      <c r="K30" s="87"/>
      <c r="L30" s="92">
        <f t="shared" si="3"/>
        <v>26076.639417465638</v>
      </c>
      <c r="M30" s="155"/>
    </row>
    <row r="31" spans="1:13" x14ac:dyDescent="0.25">
      <c r="A31" s="37" t="s">
        <v>17</v>
      </c>
      <c r="B31" s="228">
        <f>E64*E37</f>
        <v>0</v>
      </c>
      <c r="C31" s="25">
        <f>L5*C7/B66*B64</f>
        <v>2103.7238084369096</v>
      </c>
      <c r="D31" s="2">
        <f>L5*D7/C66*C64</f>
        <v>1149.9960789805348</v>
      </c>
      <c r="E31" s="159">
        <f>L5*E7/D66*D64</f>
        <v>2268.2341416564832</v>
      </c>
      <c r="F31" s="161">
        <f>L5*F7/F66*F64</f>
        <v>991.43913845223233</v>
      </c>
      <c r="G31" s="204">
        <f t="shared" si="1"/>
        <v>6513.3931675261601</v>
      </c>
      <c r="H31" s="195">
        <f t="shared" si="0"/>
        <v>6513.3931675261601</v>
      </c>
      <c r="I31" s="4">
        <f>4378+795</f>
        <v>5173</v>
      </c>
      <c r="J31" s="11">
        <f t="shared" si="2"/>
        <v>1340.3931675261601</v>
      </c>
      <c r="K31" s="87"/>
      <c r="L31" s="92">
        <f t="shared" si="3"/>
        <v>6513.3931675261601</v>
      </c>
      <c r="M31" s="155"/>
    </row>
    <row r="32" spans="1:13" ht="15.75" thickBot="1" x14ac:dyDescent="0.3">
      <c r="A32" s="38" t="s">
        <v>10</v>
      </c>
      <c r="B32" s="229">
        <f>E65*E37</f>
        <v>521.976</v>
      </c>
      <c r="C32" s="102">
        <f>L5*C7/B66*B65</f>
        <v>1598.5642209449504</v>
      </c>
      <c r="D32" s="6">
        <f>L5*D7/C66*C65</f>
        <v>1973.7521355552442</v>
      </c>
      <c r="E32" s="160">
        <f>L5*E7/D66*D65</f>
        <v>943.14441049142704</v>
      </c>
      <c r="F32" s="160">
        <f>L5*F7/F66*F65</f>
        <v>195.99509128254425</v>
      </c>
      <c r="G32" s="27">
        <f t="shared" si="1"/>
        <v>4711.4558582741656</v>
      </c>
      <c r="H32" s="225">
        <f t="shared" si="0"/>
        <v>5233.4318582741653</v>
      </c>
      <c r="I32" s="5">
        <f>4906+198</f>
        <v>5104</v>
      </c>
      <c r="J32" s="12">
        <f t="shared" si="2"/>
        <v>129.43185827416528</v>
      </c>
      <c r="K32" s="88"/>
      <c r="L32" s="85">
        <f t="shared" si="3"/>
        <v>5233.4318582741653</v>
      </c>
      <c r="M32" s="155"/>
    </row>
    <row r="33" spans="1:12" ht="15.6" thickTop="1" thickBot="1" x14ac:dyDescent="0.35">
      <c r="A33" s="96" t="s">
        <v>23</v>
      </c>
      <c r="B33" s="230">
        <f>E66*E37</f>
        <v>412039.82400000002</v>
      </c>
      <c r="C33" s="106">
        <f>L5*C7/B66*B66</f>
        <v>320331</v>
      </c>
      <c r="D33" s="107">
        <f>L5*D7/C66*C66</f>
        <v>87363</v>
      </c>
      <c r="E33" s="108">
        <f>L5*E7/D66*D66</f>
        <v>182006.25</v>
      </c>
      <c r="F33" s="108">
        <f>L5*F7/F66*F66</f>
        <v>138324.75</v>
      </c>
      <c r="G33" s="207">
        <f>C33+D33+E33+F33</f>
        <v>728025</v>
      </c>
      <c r="H33" s="188">
        <f>SUM(H10:H32)</f>
        <v>1140064.8240000003</v>
      </c>
      <c r="I33" s="99">
        <f>SUM(I10:I32)</f>
        <v>862015</v>
      </c>
      <c r="J33" s="104">
        <f>SUM(J10:J32)</f>
        <v>278049.82400000002</v>
      </c>
      <c r="K33" s="100"/>
      <c r="L33" s="105">
        <f>SUM(L10:L32)</f>
        <v>1140064.8240000003</v>
      </c>
    </row>
    <row r="34" spans="1:12" ht="14.45" x14ac:dyDescent="0.3">
      <c r="B34" s="155"/>
    </row>
    <row r="35" spans="1:12" ht="14.45" x14ac:dyDescent="0.3">
      <c r="G35" s="155"/>
      <c r="I35" s="155"/>
      <c r="J35" s="155"/>
    </row>
    <row r="37" spans="1:12" ht="15.75" x14ac:dyDescent="0.25">
      <c r="A37" s="7"/>
      <c r="B37" s="7"/>
      <c r="C37" s="395" t="s">
        <v>49</v>
      </c>
      <c r="D37" s="396"/>
      <c r="E37" s="109">
        <v>13.384</v>
      </c>
      <c r="F37" s="32" t="s">
        <v>44</v>
      </c>
    </row>
    <row r="39" spans="1:12" thickBot="1" x14ac:dyDescent="0.35"/>
    <row r="40" spans="1:12" x14ac:dyDescent="0.25">
      <c r="A40" s="412" t="s">
        <v>31</v>
      </c>
      <c r="B40" s="404" t="s">
        <v>78</v>
      </c>
      <c r="C40" s="387" t="s">
        <v>41</v>
      </c>
      <c r="D40" s="387" t="s">
        <v>42</v>
      </c>
      <c r="E40" s="387" t="s">
        <v>53</v>
      </c>
      <c r="F40" s="407" t="s">
        <v>45</v>
      </c>
    </row>
    <row r="41" spans="1:12" x14ac:dyDescent="0.25">
      <c r="A41" s="413"/>
      <c r="B41" s="405"/>
      <c r="C41" s="388"/>
      <c r="D41" s="388"/>
      <c r="E41" s="388"/>
      <c r="F41" s="408"/>
    </row>
    <row r="42" spans="1:12" ht="15.75" thickBot="1" x14ac:dyDescent="0.3">
      <c r="A42" s="414"/>
      <c r="B42" s="406"/>
      <c r="C42" s="389"/>
      <c r="D42" s="389"/>
      <c r="E42" s="389"/>
      <c r="F42" s="415"/>
    </row>
    <row r="43" spans="1:12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4778</v>
      </c>
      <c r="F43" s="167">
        <v>2209841.41</v>
      </c>
    </row>
    <row r="44" spans="1:12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1768</v>
      </c>
      <c r="F44" s="168">
        <v>2071749.43</v>
      </c>
    </row>
    <row r="45" spans="1:12" x14ac:dyDescent="0.25">
      <c r="A45" s="172" t="s">
        <v>8</v>
      </c>
      <c r="B45" s="177">
        <v>101991</v>
      </c>
      <c r="C45" s="47">
        <v>16.32</v>
      </c>
      <c r="D45" s="48">
        <v>1808890</v>
      </c>
      <c r="E45" s="48">
        <v>10727</v>
      </c>
      <c r="F45" s="168">
        <v>4857500</v>
      </c>
    </row>
    <row r="46" spans="1:12" x14ac:dyDescent="0.25">
      <c r="A46" s="172" t="s">
        <v>11</v>
      </c>
      <c r="B46" s="177">
        <v>64484</v>
      </c>
      <c r="C46" s="47">
        <v>13.18</v>
      </c>
      <c r="D46" s="48">
        <v>1026474</v>
      </c>
      <c r="E46" s="48">
        <v>7537</v>
      </c>
      <c r="F46" s="168">
        <v>3328500</v>
      </c>
    </row>
    <row r="47" spans="1:12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2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579</v>
      </c>
      <c r="F49" s="168">
        <v>84513.73</v>
      </c>
    </row>
    <row r="50" spans="1:6" x14ac:dyDescent="0.25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819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x14ac:dyDescent="0.25">
      <c r="A53" s="172" t="s">
        <v>3</v>
      </c>
      <c r="B53" s="177">
        <v>1347</v>
      </c>
      <c r="C53" s="47">
        <v>2.14</v>
      </c>
      <c r="D53" s="48">
        <v>37028</v>
      </c>
      <c r="E53" s="48">
        <v>123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190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142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415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609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334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508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468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524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39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4">SUM(B43:B65)</f>
        <v>289158</v>
      </c>
      <c r="C66" s="42">
        <f t="shared" si="4"/>
        <v>214.23000000000002</v>
      </c>
      <c r="D66" s="43">
        <f t="shared" si="4"/>
        <v>7237452</v>
      </c>
      <c r="E66" s="44">
        <f>SUM(E43:E65)</f>
        <v>30786</v>
      </c>
      <c r="F66" s="170">
        <f>SUM(F43:F65)</f>
        <v>16653728.949999999</v>
      </c>
    </row>
    <row r="77" spans="1:6" x14ac:dyDescent="0.25">
      <c r="C77" s="235"/>
    </row>
    <row r="78" spans="1:6" x14ac:dyDescent="0.25">
      <c r="C78" s="235"/>
    </row>
    <row r="79" spans="1:6" x14ac:dyDescent="0.25">
      <c r="C79" s="235"/>
    </row>
    <row r="80" spans="1:6" x14ac:dyDescent="0.25">
      <c r="C80" s="235"/>
    </row>
    <row r="81" spans="3:3" x14ac:dyDescent="0.25">
      <c r="C81" s="235"/>
    </row>
    <row r="82" spans="3:3" x14ac:dyDescent="0.25">
      <c r="C82" s="235"/>
    </row>
    <row r="83" spans="3:3" x14ac:dyDescent="0.25">
      <c r="C83" s="235"/>
    </row>
    <row r="84" spans="3:3" x14ac:dyDescent="0.25">
      <c r="C84" s="235"/>
    </row>
    <row r="85" spans="3:3" x14ac:dyDescent="0.25">
      <c r="C85" s="235"/>
    </row>
    <row r="86" spans="3:3" x14ac:dyDescent="0.25">
      <c r="C86" s="235"/>
    </row>
    <row r="87" spans="3:3" x14ac:dyDescent="0.25">
      <c r="C87" s="235"/>
    </row>
    <row r="88" spans="3:3" x14ac:dyDescent="0.25">
      <c r="C88" s="235"/>
    </row>
    <row r="89" spans="3:3" x14ac:dyDescent="0.25">
      <c r="C89" s="235"/>
    </row>
    <row r="90" spans="3:3" x14ac:dyDescent="0.25">
      <c r="C90" s="235"/>
    </row>
    <row r="91" spans="3:3" x14ac:dyDescent="0.25">
      <c r="C91" s="235"/>
    </row>
    <row r="92" spans="3:3" x14ac:dyDescent="0.25">
      <c r="C92" s="235"/>
    </row>
    <row r="93" spans="3:3" x14ac:dyDescent="0.25">
      <c r="C93" s="235"/>
    </row>
    <row r="94" spans="3:3" x14ac:dyDescent="0.25">
      <c r="C94" s="235"/>
    </row>
    <row r="95" spans="3:3" x14ac:dyDescent="0.25">
      <c r="C95" s="235"/>
    </row>
    <row r="96" spans="3:3" x14ac:dyDescent="0.25">
      <c r="C96" s="235"/>
    </row>
    <row r="97" spans="3:3" x14ac:dyDescent="0.25">
      <c r="C97" s="235"/>
    </row>
    <row r="98" spans="3:3" x14ac:dyDescent="0.25">
      <c r="C98" s="235"/>
    </row>
    <row r="99" spans="3:3" x14ac:dyDescent="0.25">
      <c r="C99" s="235"/>
    </row>
    <row r="100" spans="3:3" x14ac:dyDescent="0.25">
      <c r="C100" s="235"/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topLeftCell="A21" zoomScaleNormal="100" workbookViewId="0">
      <selection activeCell="I85" sqref="I85"/>
    </sheetView>
  </sheetViews>
  <sheetFormatPr defaultRowHeight="15" x14ac:dyDescent="0.25"/>
  <cols>
    <col min="1" max="1" width="21.85546875" customWidth="1"/>
    <col min="2" max="2" width="15.7109375" customWidth="1"/>
    <col min="3" max="10" width="13.7109375" customWidth="1"/>
    <col min="11" max="11" width="15.7109375" customWidth="1"/>
  </cols>
  <sheetData>
    <row r="1" spans="1:11" ht="20.25" x14ac:dyDescent="0.3">
      <c r="A1" s="327" t="s">
        <v>28</v>
      </c>
      <c r="B1" s="7"/>
      <c r="C1" s="7"/>
      <c r="D1" s="7"/>
      <c r="E1" s="7"/>
      <c r="F1" s="7"/>
      <c r="G1" s="7"/>
      <c r="H1" s="7"/>
      <c r="I1" s="271" t="s">
        <v>132</v>
      </c>
      <c r="J1" s="272"/>
      <c r="K1" s="273"/>
    </row>
    <row r="2" spans="1:11" ht="17.25" customHeight="1" x14ac:dyDescent="0.3">
      <c r="A2" s="274" t="s">
        <v>123</v>
      </c>
      <c r="B2" s="7"/>
      <c r="C2" s="7"/>
      <c r="D2" s="7"/>
      <c r="E2" s="7"/>
      <c r="F2" s="7"/>
      <c r="G2" s="7"/>
      <c r="H2" s="7"/>
      <c r="I2" s="275"/>
      <c r="J2" s="276"/>
      <c r="K2" s="280">
        <f>(K4+K5)</f>
        <v>1123273.2760000001</v>
      </c>
    </row>
    <row r="3" spans="1:11" ht="18.75" x14ac:dyDescent="0.3">
      <c r="A3" s="277"/>
      <c r="B3" s="7"/>
      <c r="C3" s="7"/>
      <c r="D3" s="7"/>
      <c r="E3" s="7"/>
      <c r="F3" s="7"/>
      <c r="G3" s="7"/>
      <c r="H3" s="7"/>
      <c r="I3" s="278"/>
      <c r="J3" s="276"/>
      <c r="K3" s="328"/>
    </row>
    <row r="4" spans="1:11" ht="15.75" x14ac:dyDescent="0.25">
      <c r="A4" s="7"/>
      <c r="B4" s="7"/>
      <c r="C4" s="7"/>
      <c r="D4" s="7"/>
      <c r="E4" s="7"/>
      <c r="F4" s="7"/>
      <c r="G4" s="7"/>
      <c r="H4" s="7"/>
      <c r="I4" s="278" t="s">
        <v>85</v>
      </c>
      <c r="J4" s="279"/>
      <c r="K4" s="280">
        <f>B35</f>
        <v>403340.27600000001</v>
      </c>
    </row>
    <row r="5" spans="1:11" ht="15.75" x14ac:dyDescent="0.25">
      <c r="A5" s="7"/>
      <c r="B5" s="7"/>
      <c r="C5" s="7"/>
      <c r="D5" s="7"/>
      <c r="E5" s="7"/>
      <c r="F5" s="7"/>
      <c r="G5" s="7"/>
      <c r="H5" s="7"/>
      <c r="I5" s="278" t="s">
        <v>122</v>
      </c>
      <c r="J5" s="275"/>
      <c r="K5" s="280">
        <v>719933</v>
      </c>
    </row>
    <row r="6" spans="1:11" ht="15.75" x14ac:dyDescent="0.25">
      <c r="A6" s="7"/>
      <c r="B6" s="7"/>
      <c r="C6" s="7"/>
      <c r="D6" s="7"/>
      <c r="E6" s="7"/>
      <c r="F6" s="7"/>
      <c r="G6" s="7"/>
      <c r="H6" s="7"/>
      <c r="I6" s="278"/>
      <c r="J6" s="275"/>
      <c r="K6" s="7"/>
    </row>
    <row r="7" spans="1:11" ht="15.75" customHeight="1" x14ac:dyDescent="0.25">
      <c r="A7" s="7"/>
      <c r="B7" s="7"/>
      <c r="C7" s="7"/>
      <c r="D7" s="7"/>
      <c r="E7" s="7"/>
      <c r="F7" s="7"/>
      <c r="G7" s="7"/>
      <c r="H7" s="416" t="s">
        <v>129</v>
      </c>
      <c r="I7" s="416"/>
      <c r="J7" s="416"/>
      <c r="K7" s="416"/>
    </row>
    <row r="8" spans="1:11" ht="15.75" thickBot="1" x14ac:dyDescent="0.3">
      <c r="A8" s="7"/>
      <c r="B8" s="7"/>
      <c r="C8" s="7"/>
      <c r="D8" s="7"/>
      <c r="E8" s="7"/>
      <c r="F8" s="7"/>
      <c r="G8" s="7"/>
      <c r="H8" s="7"/>
      <c r="J8" s="275"/>
      <c r="K8" s="275"/>
    </row>
    <row r="9" spans="1:11" ht="15.75" thickBot="1" x14ac:dyDescent="0.3">
      <c r="C9" s="329">
        <v>0.44</v>
      </c>
      <c r="D9" s="330">
        <v>0.12</v>
      </c>
      <c r="E9" s="331">
        <v>0.25</v>
      </c>
      <c r="F9" s="331">
        <v>0.19</v>
      </c>
      <c r="G9" s="332">
        <v>1</v>
      </c>
      <c r="I9" s="7"/>
      <c r="K9" s="281" t="s">
        <v>47</v>
      </c>
    </row>
    <row r="10" spans="1:11" x14ac:dyDescent="0.25">
      <c r="A10" s="417" t="s">
        <v>31</v>
      </c>
      <c r="B10" s="333">
        <v>1</v>
      </c>
      <c r="C10" s="419" t="s">
        <v>38</v>
      </c>
      <c r="D10" s="421" t="s">
        <v>39</v>
      </c>
      <c r="E10" s="421" t="s">
        <v>40</v>
      </c>
      <c r="F10" s="334"/>
      <c r="G10" s="335">
        <v>2</v>
      </c>
      <c r="H10" s="336">
        <v>3</v>
      </c>
      <c r="I10" s="337">
        <v>4</v>
      </c>
      <c r="J10" s="336">
        <v>5</v>
      </c>
      <c r="K10" s="336">
        <v>6</v>
      </c>
    </row>
    <row r="11" spans="1:11" ht="60.75" thickBot="1" x14ac:dyDescent="0.3">
      <c r="A11" s="418"/>
      <c r="B11" s="338" t="s">
        <v>131</v>
      </c>
      <c r="C11" s="420"/>
      <c r="D11" s="422"/>
      <c r="E11" s="422"/>
      <c r="F11" s="339" t="s">
        <v>66</v>
      </c>
      <c r="G11" s="340" t="s">
        <v>104</v>
      </c>
      <c r="H11" s="341" t="s">
        <v>24</v>
      </c>
      <c r="I11" s="342" t="s">
        <v>105</v>
      </c>
      <c r="J11" s="341" t="s">
        <v>130</v>
      </c>
      <c r="K11" s="341" t="s">
        <v>106</v>
      </c>
    </row>
    <row r="12" spans="1:11" x14ac:dyDescent="0.25">
      <c r="A12" s="379" t="s">
        <v>19</v>
      </c>
      <c r="B12" s="345">
        <f>E49*$E$43</f>
        <v>63151.195999999996</v>
      </c>
      <c r="C12" s="346">
        <f t="shared" ref="C12:C35" si="0">$K$5*$C$9/$B$72*B49</f>
        <v>40925.329109638456</v>
      </c>
      <c r="D12" s="347">
        <f>$K$5*$D$9/$C$72*C49</f>
        <v>5341.2611065434457</v>
      </c>
      <c r="E12" s="348">
        <f t="shared" ref="E12:E35" si="1">$K$5*$E$9/$D$72*D49</f>
        <v>26729.71686307207</v>
      </c>
      <c r="F12" s="348">
        <f t="shared" ref="F12:F22" si="2">$K$5*$F$9/$F$72*F49</f>
        <v>16026.262922503643</v>
      </c>
      <c r="G12" s="349">
        <f>C12+D12+E12+F12-1</f>
        <v>89021.570001757616</v>
      </c>
      <c r="H12" s="350">
        <f>B12+G12</f>
        <v>152172.76600175761</v>
      </c>
      <c r="I12" s="3">
        <v>175295</v>
      </c>
      <c r="J12" s="94">
        <f>H12-I12</f>
        <v>-23122.233998242387</v>
      </c>
      <c r="K12" s="351">
        <v>152172.76600175761</v>
      </c>
    </row>
    <row r="13" spans="1:11" x14ac:dyDescent="0.25">
      <c r="A13" s="380" t="s">
        <v>14</v>
      </c>
      <c r="B13" s="345">
        <f>E50*$E$43+1</f>
        <v>23550.491999999998</v>
      </c>
      <c r="C13" s="352">
        <f t="shared" si="0"/>
        <v>23013.390596847363</v>
      </c>
      <c r="D13" s="353">
        <f>$K$5*$D$9/$C$72*C50+1</f>
        <v>16834.448421397276</v>
      </c>
      <c r="E13" s="354">
        <f t="shared" si="1"/>
        <v>21021.738806151068</v>
      </c>
      <c r="F13" s="354">
        <f t="shared" si="2"/>
        <v>18264.672448321267</v>
      </c>
      <c r="G13" s="355">
        <f t="shared" ref="G13:G23" si="3">C13+D13+E13+F13</f>
        <v>79134.250272716978</v>
      </c>
      <c r="H13" s="356">
        <f>B13+G13-1</f>
        <v>102683.74227271698</v>
      </c>
      <c r="I13" s="4">
        <v>116119</v>
      </c>
      <c r="J13" s="11">
        <f t="shared" ref="J13:J33" si="4">SUM(H13-I13)</f>
        <v>-13435.257727283024</v>
      </c>
      <c r="K13" s="357">
        <v>102683.74227271698</v>
      </c>
    </row>
    <row r="14" spans="1:11" x14ac:dyDescent="0.25">
      <c r="A14" s="380" t="s">
        <v>8</v>
      </c>
      <c r="B14" s="345">
        <f t="shared" ref="B14:B35" si="5">E51*$E$43</f>
        <v>138686.29199999999</v>
      </c>
      <c r="C14" s="352">
        <f t="shared" si="0"/>
        <v>110537.40756956885</v>
      </c>
      <c r="D14" s="353">
        <f t="shared" ref="D14:D32" si="6">$K$5*$D$9/$C$72*C51</f>
        <v>6579.318372305981</v>
      </c>
      <c r="E14" s="354">
        <f t="shared" si="1"/>
        <v>44739.022329788648</v>
      </c>
      <c r="F14" s="354">
        <f t="shared" si="2"/>
        <v>35947.778818806015</v>
      </c>
      <c r="G14" s="355">
        <f>C14+D14+E14+F14-1</f>
        <v>197802.52709046949</v>
      </c>
      <c r="H14" s="345">
        <f t="shared" ref="H14" si="7">B14+G14</f>
        <v>336488.81909046951</v>
      </c>
      <c r="I14" s="4">
        <v>388552</v>
      </c>
      <c r="J14" s="11">
        <f t="shared" si="4"/>
        <v>-52063.180909530492</v>
      </c>
      <c r="K14" s="357">
        <v>336488.81909046951</v>
      </c>
    </row>
    <row r="15" spans="1:11" x14ac:dyDescent="0.25">
      <c r="A15" s="380" t="s">
        <v>11</v>
      </c>
      <c r="B15" s="345">
        <f t="shared" si="5"/>
        <v>96326.66</v>
      </c>
      <c r="C15" s="352">
        <f t="shared" si="0"/>
        <v>69355.668062348894</v>
      </c>
      <c r="D15" s="353">
        <f t="shared" si="6"/>
        <v>5314.8745011698293</v>
      </c>
      <c r="E15" s="354">
        <f t="shared" si="1"/>
        <v>25470.026165576917</v>
      </c>
      <c r="F15" s="354">
        <f t="shared" si="2"/>
        <v>24861.996300176019</v>
      </c>
      <c r="G15" s="355">
        <f t="shared" si="3"/>
        <v>125002.56502927166</v>
      </c>
      <c r="H15" s="345">
        <f>B15+G15+1</f>
        <v>221330.22502927168</v>
      </c>
      <c r="I15" s="4">
        <v>257402</v>
      </c>
      <c r="J15" s="11">
        <f t="shared" si="4"/>
        <v>-36071.774970728322</v>
      </c>
      <c r="K15" s="357">
        <v>221330.22502927168</v>
      </c>
    </row>
    <row r="16" spans="1:11" x14ac:dyDescent="0.25">
      <c r="A16" s="380" t="s">
        <v>6</v>
      </c>
      <c r="B16" s="356">
        <f>E53*$E$43</f>
        <v>2142.08</v>
      </c>
      <c r="C16" s="352">
        <f t="shared" si="0"/>
        <v>2458.1953333356796</v>
      </c>
      <c r="D16" s="353">
        <f t="shared" si="6"/>
        <v>2893.7915479617964</v>
      </c>
      <c r="E16" s="354">
        <f t="shared" si="1"/>
        <v>1336.2973906387465</v>
      </c>
      <c r="F16" s="354">
        <f t="shared" si="2"/>
        <v>558.99466199070787</v>
      </c>
      <c r="G16" s="358">
        <f t="shared" si="3"/>
        <v>7247.2789339269311</v>
      </c>
      <c r="H16" s="345">
        <f>B16+G16</f>
        <v>9389.3589339269311</v>
      </c>
      <c r="I16" s="4">
        <v>10619</v>
      </c>
      <c r="J16" s="95">
        <f t="shared" si="4"/>
        <v>-1229.6410660730689</v>
      </c>
      <c r="K16" s="357">
        <v>9389.3589339269311</v>
      </c>
    </row>
    <row r="17" spans="1:11" x14ac:dyDescent="0.25">
      <c r="A17" s="380" t="s">
        <v>18</v>
      </c>
      <c r="B17" s="345">
        <f t="shared" si="5"/>
        <v>9170.7800000000007</v>
      </c>
      <c r="C17" s="359">
        <f t="shared" si="0"/>
        <v>8636.5710872342461</v>
      </c>
      <c r="D17" s="360">
        <f t="shared" si="6"/>
        <v>2610.8987474500318</v>
      </c>
      <c r="E17" s="361">
        <f t="shared" si="1"/>
        <v>8055.4102060995483</v>
      </c>
      <c r="F17" s="361">
        <f t="shared" si="2"/>
        <v>4655.8103077961123</v>
      </c>
      <c r="G17" s="358">
        <f t="shared" si="3"/>
        <v>23958.690348579941</v>
      </c>
      <c r="H17" s="345">
        <f>B17+G17+1</f>
        <v>33130.47034857994</v>
      </c>
      <c r="I17" s="4">
        <v>37617</v>
      </c>
      <c r="J17" s="11">
        <f>SUM(H17-I17)</f>
        <v>-4486.52965142006</v>
      </c>
      <c r="K17" s="357">
        <v>33130.47034857994</v>
      </c>
    </row>
    <row r="18" spans="1:11" x14ac:dyDescent="0.25">
      <c r="A18" s="380" t="s">
        <v>15</v>
      </c>
      <c r="B18" s="345">
        <f t="shared" si="5"/>
        <v>7939.0839999999998</v>
      </c>
      <c r="C18" s="352">
        <f t="shared" si="0"/>
        <v>4608.6981895735598</v>
      </c>
      <c r="D18" s="353">
        <f t="shared" si="6"/>
        <v>5619.2500231893509</v>
      </c>
      <c r="E18" s="354">
        <f t="shared" si="1"/>
        <v>3728.9407401164017</v>
      </c>
      <c r="F18" s="354">
        <f t="shared" si="2"/>
        <v>887.32046448399035</v>
      </c>
      <c r="G18" s="355">
        <f t="shared" si="3"/>
        <v>14844.209417363301</v>
      </c>
      <c r="H18" s="345">
        <f t="shared" ref="H18:H33" si="8">B18+G18</f>
        <v>22783.2934173633</v>
      </c>
      <c r="I18" s="4">
        <v>25930</v>
      </c>
      <c r="J18" s="11">
        <f t="shared" si="4"/>
        <v>-3146.7065826366997</v>
      </c>
      <c r="K18" s="357">
        <v>22783.2934173633</v>
      </c>
    </row>
    <row r="19" spans="1:11" ht="14.45" x14ac:dyDescent="0.3">
      <c r="A19" s="380" t="s">
        <v>13</v>
      </c>
      <c r="B19" s="345">
        <f t="shared" si="5"/>
        <v>0</v>
      </c>
      <c r="C19" s="359">
        <f t="shared" si="0"/>
        <v>1503.9027232062729</v>
      </c>
      <c r="D19" s="360">
        <f t="shared" si="6"/>
        <v>432.02168330421171</v>
      </c>
      <c r="E19" s="361">
        <f t="shared" si="1"/>
        <v>1527.6587371893136</v>
      </c>
      <c r="F19" s="361">
        <f t="shared" si="2"/>
        <v>1460.1711302470076</v>
      </c>
      <c r="G19" s="358">
        <f t="shared" si="3"/>
        <v>4923.7542739468054</v>
      </c>
      <c r="H19" s="356">
        <f t="shared" si="8"/>
        <v>4923.7542739468054</v>
      </c>
      <c r="I19" s="4">
        <v>5767</v>
      </c>
      <c r="J19" s="11">
        <f t="shared" si="4"/>
        <v>-843.24572605319463</v>
      </c>
      <c r="K19" s="357">
        <v>4923.7542739468054</v>
      </c>
    </row>
    <row r="20" spans="1:11" x14ac:dyDescent="0.25">
      <c r="A20" s="380" t="s">
        <v>20</v>
      </c>
      <c r="B20" s="345">
        <f t="shared" si="5"/>
        <v>10683.624</v>
      </c>
      <c r="C20" s="352">
        <f t="shared" si="0"/>
        <v>12820.519879074973</v>
      </c>
      <c r="D20" s="353">
        <f t="shared" si="6"/>
        <v>2965.3011439399374</v>
      </c>
      <c r="E20" s="354">
        <f t="shared" si="1"/>
        <v>9491.1846683009971</v>
      </c>
      <c r="F20" s="354">
        <f t="shared" si="2"/>
        <v>6131.6320016435247</v>
      </c>
      <c r="G20" s="358">
        <f t="shared" si="3"/>
        <v>31408.63769295943</v>
      </c>
      <c r="H20" s="345">
        <f>B20+G20+1</f>
        <v>42093.26169295943</v>
      </c>
      <c r="I20" s="4">
        <v>47685</v>
      </c>
      <c r="J20" s="11">
        <f>SUM(H20-I20)</f>
        <v>-5591.7383070405704</v>
      </c>
      <c r="K20" s="357">
        <v>42093.26169295943</v>
      </c>
    </row>
    <row r="21" spans="1:11" x14ac:dyDescent="0.25">
      <c r="A21" s="380" t="s">
        <v>9</v>
      </c>
      <c r="B21" s="345">
        <f>E58*$E$43</f>
        <v>6345.9120000000003</v>
      </c>
      <c r="C21" s="359">
        <f t="shared" si="0"/>
        <v>3588.6307383254207</v>
      </c>
      <c r="D21" s="360">
        <f t="shared" si="6"/>
        <v>1574.4048200917064</v>
      </c>
      <c r="E21" s="361">
        <f t="shared" si="1"/>
        <v>2166.3088957174373</v>
      </c>
      <c r="F21" s="361">
        <f t="shared" si="2"/>
        <v>1798.9497075158915</v>
      </c>
      <c r="G21" s="358">
        <f t="shared" si="3"/>
        <v>9128.294161650454</v>
      </c>
      <c r="H21" s="345">
        <f>B21+G21</f>
        <v>15474.206161650454</v>
      </c>
      <c r="I21" s="4">
        <v>17510</v>
      </c>
      <c r="J21" s="11">
        <f>SUM(H21-I21)</f>
        <v>-2035.7938383495457</v>
      </c>
      <c r="K21" s="357">
        <v>15474.206161650454</v>
      </c>
    </row>
    <row r="22" spans="1:11" ht="14.45" x14ac:dyDescent="0.3">
      <c r="A22" s="380" t="s">
        <v>3</v>
      </c>
      <c r="B22" s="345">
        <f t="shared" si="5"/>
        <v>1593.172</v>
      </c>
      <c r="C22" s="352">
        <f t="shared" si="0"/>
        <v>1532.8882464111382</v>
      </c>
      <c r="D22" s="353">
        <f t="shared" si="6"/>
        <v>861.5873918762619</v>
      </c>
      <c r="E22" s="354">
        <f t="shared" si="1"/>
        <v>975.47795157308701</v>
      </c>
      <c r="F22" s="354">
        <f t="shared" si="2"/>
        <v>1032.7370076857428</v>
      </c>
      <c r="G22" s="355">
        <f t="shared" si="3"/>
        <v>4402.6905975462305</v>
      </c>
      <c r="H22" s="345">
        <f>B22+G22</f>
        <v>5995.862597546231</v>
      </c>
      <c r="I22" s="4">
        <v>6066</v>
      </c>
      <c r="J22" s="11">
        <f t="shared" si="4"/>
        <v>-70.137402453769027</v>
      </c>
      <c r="K22" s="357">
        <v>5995.862597546231</v>
      </c>
    </row>
    <row r="23" spans="1:11" x14ac:dyDescent="0.25">
      <c r="A23" s="380" t="s">
        <v>0</v>
      </c>
      <c r="B23" s="362">
        <f t="shared" si="5"/>
        <v>3119.404</v>
      </c>
      <c r="C23" s="352">
        <f t="shared" si="0"/>
        <v>1924.1928096768177</v>
      </c>
      <c r="D23" s="353">
        <f t="shared" si="6"/>
        <v>2135.4196196240264</v>
      </c>
      <c r="E23" s="354">
        <f t="shared" si="1"/>
        <v>1831.6565109904125</v>
      </c>
      <c r="F23" s="354">
        <f>$K$5*$F$9/$F$72*F60-1</f>
        <v>1967.5105875283189</v>
      </c>
      <c r="G23" s="355">
        <f t="shared" si="3"/>
        <v>7858.7795278195754</v>
      </c>
      <c r="H23" s="345">
        <f>B23+G23</f>
        <v>10978.183527819576</v>
      </c>
      <c r="I23" s="4">
        <v>12503</v>
      </c>
      <c r="J23" s="11">
        <f>SUM(H23-I23)</f>
        <v>-1524.8164721804242</v>
      </c>
      <c r="K23" s="357">
        <v>10978.183527819576</v>
      </c>
    </row>
    <row r="24" spans="1:11" x14ac:dyDescent="0.25">
      <c r="A24" s="380" t="s">
        <v>7</v>
      </c>
      <c r="B24" s="362">
        <f t="shared" si="5"/>
        <v>0</v>
      </c>
      <c r="C24" s="352">
        <f t="shared" si="0"/>
        <v>794.87223250264833</v>
      </c>
      <c r="D24" s="353">
        <f t="shared" si="6"/>
        <v>1236.8514587922289</v>
      </c>
      <c r="E24" s="354">
        <f t="shared" si="1"/>
        <v>1153.8266271109781</v>
      </c>
      <c r="F24" s="354">
        <f>$K$5*$F$9/$F$72*F61</f>
        <v>3222.5504253297922</v>
      </c>
      <c r="G24" s="355">
        <f>C24+D24+E24+F24+1</f>
        <v>6409.1007437356475</v>
      </c>
      <c r="H24" s="345">
        <f t="shared" si="8"/>
        <v>6409.1007437356475</v>
      </c>
      <c r="I24" s="4">
        <v>7442</v>
      </c>
      <c r="J24" s="11">
        <f t="shared" si="4"/>
        <v>-1032.8992562643525</v>
      </c>
      <c r="K24" s="357">
        <v>6409.1007437356475</v>
      </c>
    </row>
    <row r="25" spans="1:11" ht="14.45" x14ac:dyDescent="0.3">
      <c r="A25" s="380" t="s">
        <v>12</v>
      </c>
      <c r="B25" s="362">
        <f>E62*$E$43</f>
        <v>1901.096</v>
      </c>
      <c r="C25" s="352">
        <f t="shared" si="0"/>
        <v>1361.2047628130906</v>
      </c>
      <c r="D25" s="353">
        <f t="shared" si="6"/>
        <v>1381.959640750579</v>
      </c>
      <c r="E25" s="354">
        <f t="shared" si="1"/>
        <v>795.81657250162823</v>
      </c>
      <c r="F25" s="354">
        <f>$K$5*$F$9/$F$72*F62-1</f>
        <v>1627.5094216912898</v>
      </c>
      <c r="G25" s="355">
        <f>C25+D25+E25+F25+1</f>
        <v>5167.4903977565882</v>
      </c>
      <c r="H25" s="345">
        <f>B25+G25-1</f>
        <v>7067.5863977565878</v>
      </c>
      <c r="I25" s="4">
        <v>7900</v>
      </c>
      <c r="J25" s="154">
        <f t="shared" si="4"/>
        <v>-832.41360224341224</v>
      </c>
      <c r="K25" s="357">
        <v>7067.5863977565878</v>
      </c>
    </row>
    <row r="26" spans="1:11" x14ac:dyDescent="0.25">
      <c r="A26" s="380" t="s">
        <v>5</v>
      </c>
      <c r="B26" s="362">
        <f t="shared" si="5"/>
        <v>5047.2759999999998</v>
      </c>
      <c r="C26" s="352">
        <f t="shared" si="0"/>
        <v>3771.4625000791857</v>
      </c>
      <c r="D26" s="353">
        <f t="shared" si="6"/>
        <v>1166.0959962704335</v>
      </c>
      <c r="E26" s="354">
        <f t="shared" si="1"/>
        <v>3087.0311983827723</v>
      </c>
      <c r="F26" s="354">
        <f t="shared" ref="F26:F35" si="9">$K$5*$F$9/$F$72*F63</f>
        <v>1542.7208823394128</v>
      </c>
      <c r="G26" s="355">
        <f t="shared" ref="G26:G33" si="10">C26+D26+E26+F26</f>
        <v>9567.3105770718048</v>
      </c>
      <c r="H26" s="345">
        <f>B26+G26-1</f>
        <v>14613.586577071805</v>
      </c>
      <c r="I26" s="4">
        <v>16914</v>
      </c>
      <c r="J26" s="11">
        <f t="shared" si="4"/>
        <v>-2300.4134229281954</v>
      </c>
      <c r="K26" s="357">
        <v>14613.586577071805</v>
      </c>
    </row>
    <row r="27" spans="1:11" ht="14.45" x14ac:dyDescent="0.3">
      <c r="A27" s="381" t="s">
        <v>34</v>
      </c>
      <c r="B27" s="362">
        <f t="shared" si="5"/>
        <v>7590.9960000000001</v>
      </c>
      <c r="C27" s="352">
        <f t="shared" si="0"/>
        <v>7052.400761306807</v>
      </c>
      <c r="D27" s="353">
        <f t="shared" si="6"/>
        <v>6718.3208962273975</v>
      </c>
      <c r="E27" s="354">
        <f t="shared" si="1"/>
        <v>8052.511319129585</v>
      </c>
      <c r="F27" s="354">
        <f t="shared" si="9"/>
        <v>5297.0758858899999</v>
      </c>
      <c r="G27" s="355">
        <f>C27+D27+E27+F27</f>
        <v>27120.308862553789</v>
      </c>
      <c r="H27" s="345">
        <f>B27+G27</f>
        <v>34711.304862553792</v>
      </c>
      <c r="I27" s="4">
        <v>38613</v>
      </c>
      <c r="J27" s="11">
        <f t="shared" si="4"/>
        <v>-3901.6951374462078</v>
      </c>
      <c r="K27" s="357">
        <v>34711.304862553792</v>
      </c>
    </row>
    <row r="28" spans="1:11" x14ac:dyDescent="0.25">
      <c r="A28" s="380" t="s">
        <v>2</v>
      </c>
      <c r="B28" s="362">
        <f t="shared" si="5"/>
        <v>4739.3519999999999</v>
      </c>
      <c r="C28" s="352">
        <f t="shared" si="0"/>
        <v>3070.2358040845634</v>
      </c>
      <c r="D28" s="353">
        <f t="shared" si="6"/>
        <v>2656.8121667039868</v>
      </c>
      <c r="E28" s="354">
        <f t="shared" si="1"/>
        <v>1706.2311690113356</v>
      </c>
      <c r="F28" s="354">
        <f t="shared" si="9"/>
        <v>621.47537249958805</v>
      </c>
      <c r="G28" s="355">
        <f>C28+D28+E28+F28-1</f>
        <v>8053.7545122994734</v>
      </c>
      <c r="H28" s="345">
        <f>B28+G28</f>
        <v>12793.106512299473</v>
      </c>
      <c r="I28" s="4">
        <v>14359</v>
      </c>
      <c r="J28" s="11">
        <f t="shared" si="4"/>
        <v>-1565.8934877005267</v>
      </c>
      <c r="K28" s="357">
        <v>12793.106512299473</v>
      </c>
    </row>
    <row r="29" spans="1:11" ht="14.45" x14ac:dyDescent="0.3">
      <c r="A29" s="380" t="s">
        <v>4</v>
      </c>
      <c r="B29" s="362">
        <f t="shared" si="5"/>
        <v>374.86399999999998</v>
      </c>
      <c r="C29" s="352">
        <f t="shared" si="0"/>
        <v>1299.8892329566452</v>
      </c>
      <c r="D29" s="353">
        <f t="shared" si="6"/>
        <v>1623.9356602565795</v>
      </c>
      <c r="E29" s="354">
        <f t="shared" si="1"/>
        <v>1332.3990589330001</v>
      </c>
      <c r="F29" s="354">
        <f t="shared" si="9"/>
        <v>1016.4429764178931</v>
      </c>
      <c r="G29" s="355">
        <f>C29+D29+E29+F29-1</f>
        <v>5271.6669285641183</v>
      </c>
      <c r="H29" s="345">
        <f t="shared" si="8"/>
        <v>5646.5309285641179</v>
      </c>
      <c r="I29" s="4">
        <v>6482</v>
      </c>
      <c r="J29" s="11">
        <f>SUM(H29-I29)</f>
        <v>-835.46907143588214</v>
      </c>
      <c r="K29" s="357">
        <v>5646.5309285641179</v>
      </c>
    </row>
    <row r="30" spans="1:11" ht="14.45" x14ac:dyDescent="0.3">
      <c r="A30" s="380" t="s">
        <v>22</v>
      </c>
      <c r="B30" s="362">
        <f>E67*$E$43</f>
        <v>7122.4160000000002</v>
      </c>
      <c r="C30" s="352">
        <f t="shared" si="0"/>
        <v>5613.158051403695</v>
      </c>
      <c r="D30" s="353">
        <f t="shared" si="6"/>
        <v>6956.1995917138966</v>
      </c>
      <c r="E30" s="354">
        <f t="shared" si="1"/>
        <v>3860.6586060414252</v>
      </c>
      <c r="F30" s="354">
        <f t="shared" si="9"/>
        <v>1927.0927186671286</v>
      </c>
      <c r="G30" s="355">
        <f>C30+D30+E30+F30</f>
        <v>18357.108967826145</v>
      </c>
      <c r="H30" s="345">
        <f>B30+G30-1</f>
        <v>25478.524967826146</v>
      </c>
      <c r="I30" s="4">
        <v>28742</v>
      </c>
      <c r="J30" s="11">
        <f t="shared" si="4"/>
        <v>-3263.4750321738538</v>
      </c>
      <c r="K30" s="357">
        <v>25478.524967826146</v>
      </c>
    </row>
    <row r="31" spans="1:11" x14ac:dyDescent="0.25">
      <c r="A31" s="380" t="s">
        <v>1</v>
      </c>
      <c r="B31" s="362">
        <f t="shared" si="5"/>
        <v>6238.808</v>
      </c>
      <c r="C31" s="352">
        <f t="shared" si="0"/>
        <v>4270.9053614553241</v>
      </c>
      <c r="D31" s="353">
        <f t="shared" si="6"/>
        <v>3714.4177980407444</v>
      </c>
      <c r="E31" s="354">
        <f t="shared" si="1"/>
        <v>3881.4281615706368</v>
      </c>
      <c r="F31" s="354">
        <f t="shared" si="9"/>
        <v>3318.8918344277622</v>
      </c>
      <c r="G31" s="355">
        <f>C31+D31+E31+F31-1</f>
        <v>15184.643155494468</v>
      </c>
      <c r="H31" s="345">
        <f>B31+G31+1</f>
        <v>21424.451155494469</v>
      </c>
      <c r="I31" s="4">
        <v>24324</v>
      </c>
      <c r="J31" s="11">
        <f>SUM(H31-I31)</f>
        <v>-2899.5488445055307</v>
      </c>
      <c r="K31" s="357">
        <v>21424.451155494469</v>
      </c>
    </row>
    <row r="32" spans="1:11" ht="14.45" x14ac:dyDescent="0.3">
      <c r="A32" s="380" t="s">
        <v>16</v>
      </c>
      <c r="B32" s="345">
        <f t="shared" si="5"/>
        <v>7109.0280000000002</v>
      </c>
      <c r="C32" s="359">
        <f t="shared" si="0"/>
        <v>4812.7116798231882</v>
      </c>
      <c r="D32" s="360">
        <f t="shared" si="6"/>
        <v>4687.5120886760624</v>
      </c>
      <c r="E32" s="361">
        <f t="shared" si="1"/>
        <v>5865.8157397468931</v>
      </c>
      <c r="F32" s="361">
        <f t="shared" si="9"/>
        <v>3279.0969340166821</v>
      </c>
      <c r="G32" s="363">
        <f>C32+D32+E32+F32+1</f>
        <v>18646.136442262825</v>
      </c>
      <c r="H32" s="356">
        <f>B32+G32</f>
        <v>25755.164442262823</v>
      </c>
      <c r="I32" s="4">
        <v>29643</v>
      </c>
      <c r="J32" s="11">
        <f>SUM(H32-I32)</f>
        <v>-3887.8355577371767</v>
      </c>
      <c r="K32" s="357">
        <v>25755.164442262823</v>
      </c>
    </row>
    <row r="33" spans="1:11" x14ac:dyDescent="0.25">
      <c r="A33" s="380" t="s">
        <v>17</v>
      </c>
      <c r="B33" s="345">
        <f t="shared" si="5"/>
        <v>0</v>
      </c>
      <c r="C33" s="359">
        <f t="shared" si="0"/>
        <v>2142.6990615288782</v>
      </c>
      <c r="D33" s="360">
        <f>$K$5*$D$9/$C$72*C70+1</f>
        <v>1138.4792529216354</v>
      </c>
      <c r="E33" s="361">
        <f t="shared" si="1"/>
        <v>2241.6724983936401</v>
      </c>
      <c r="F33" s="361">
        <f t="shared" si="9"/>
        <v>992.80626410042453</v>
      </c>
      <c r="G33" s="363">
        <f t="shared" si="10"/>
        <v>6515.657076944578</v>
      </c>
      <c r="H33" s="356">
        <f t="shared" si="8"/>
        <v>6515.657076944578</v>
      </c>
      <c r="I33" s="4">
        <v>7451</v>
      </c>
      <c r="J33" s="11">
        <f t="shared" si="4"/>
        <v>-935.34292305542203</v>
      </c>
      <c r="K33" s="357">
        <v>6515.657076944578</v>
      </c>
    </row>
    <row r="34" spans="1:11" ht="15.75" thickBot="1" x14ac:dyDescent="0.3">
      <c r="A34" s="382" t="s">
        <v>10</v>
      </c>
      <c r="B34" s="364">
        <f t="shared" si="5"/>
        <v>508.74399999999997</v>
      </c>
      <c r="C34" s="365">
        <f t="shared" si="0"/>
        <v>1675.5862068043205</v>
      </c>
      <c r="D34" s="366">
        <f>$K$5*$D$9/$C$72*C71</f>
        <v>1950.7980707925756</v>
      </c>
      <c r="E34" s="367">
        <f t="shared" si="1"/>
        <v>932.41978396350828</v>
      </c>
      <c r="F34" s="367">
        <f t="shared" si="9"/>
        <v>345.77092592178315</v>
      </c>
      <c r="G34" s="368">
        <f>C34+D34+E34+F34</f>
        <v>4904.5749874821868</v>
      </c>
      <c r="H34" s="369">
        <f>B34+G34+1</f>
        <v>5414.3189874821865</v>
      </c>
      <c r="I34" s="370">
        <v>6166</v>
      </c>
      <c r="J34" s="206">
        <f>SUM(H34-I34)</f>
        <v>-751.68101251781354</v>
      </c>
      <c r="K34" s="371">
        <v>5414.3189874821865</v>
      </c>
    </row>
    <row r="35" spans="1:11" ht="15.6" thickTop="1" thickBot="1" x14ac:dyDescent="0.35">
      <c r="A35" s="383" t="s">
        <v>100</v>
      </c>
      <c r="B35" s="372">
        <f t="shared" si="5"/>
        <v>403340.27600000001</v>
      </c>
      <c r="C35" s="373">
        <f t="shared" si="0"/>
        <v>316770.52</v>
      </c>
      <c r="D35" s="374">
        <f>$K$5*$D$9/$C$72*C72</f>
        <v>86391.959999999992</v>
      </c>
      <c r="E35" s="375">
        <f t="shared" si="1"/>
        <v>179983.25</v>
      </c>
      <c r="F35" s="375">
        <f t="shared" si="9"/>
        <v>136787.26999999999</v>
      </c>
      <c r="G35" s="376">
        <f>C35+D35+E35+F35</f>
        <v>719933</v>
      </c>
      <c r="H35" s="377">
        <f>SUM(H12:H34)</f>
        <v>1123273.2760000003</v>
      </c>
      <c r="I35" s="99">
        <f>SUM(I12:I34)</f>
        <v>1289101</v>
      </c>
      <c r="J35" s="104">
        <f>SUM(J12:J34)</f>
        <v>-165827.72399999993</v>
      </c>
      <c r="K35" s="378">
        <f>SUM(K12:K34)</f>
        <v>1123273.2760000003</v>
      </c>
    </row>
    <row r="36" spans="1:11" ht="14.45" x14ac:dyDescent="0.3">
      <c r="B36" s="115"/>
      <c r="C36" s="116"/>
      <c r="D36" s="116"/>
      <c r="E36" s="116"/>
    </row>
    <row r="37" spans="1:11" ht="14.45" x14ac:dyDescent="0.3">
      <c r="A37" s="282"/>
      <c r="B37" s="283"/>
      <c r="C37" s="284"/>
      <c r="D37" s="237"/>
      <c r="E37" s="237"/>
      <c r="G37" s="155"/>
    </row>
    <row r="38" spans="1:11" ht="14.45" x14ac:dyDescent="0.3">
      <c r="A38" s="282"/>
      <c r="B38" s="283"/>
      <c r="C38" s="237"/>
      <c r="D38" s="237"/>
      <c r="E38" s="237"/>
      <c r="F38" s="155"/>
      <c r="I38" s="155"/>
      <c r="K38" s="155"/>
    </row>
    <row r="39" spans="1:11" ht="14.45" x14ac:dyDescent="0.3">
      <c r="A39" s="282"/>
      <c r="B39" s="155"/>
      <c r="I39" s="155"/>
      <c r="K39" s="155"/>
    </row>
    <row r="40" spans="1:11" ht="18" customHeight="1" x14ac:dyDescent="0.25">
      <c r="B40" s="155"/>
    </row>
    <row r="41" spans="1:11" ht="14.45" hidden="1" x14ac:dyDescent="0.3">
      <c r="G41" s="155"/>
      <c r="I41" s="155"/>
      <c r="J41" s="155"/>
    </row>
    <row r="42" spans="1:11" hidden="1" x14ac:dyDescent="0.25"/>
    <row r="43" spans="1:11" ht="15.75" hidden="1" x14ac:dyDescent="0.25">
      <c r="A43" s="7"/>
      <c r="B43" s="7"/>
      <c r="C43" s="395" t="s">
        <v>49</v>
      </c>
      <c r="D43" s="396"/>
      <c r="E43" s="285">
        <v>13.388</v>
      </c>
      <c r="F43" s="32" t="s">
        <v>44</v>
      </c>
      <c r="G43" t="s">
        <v>124</v>
      </c>
      <c r="I43" s="109"/>
    </row>
    <row r="44" spans="1:11" hidden="1" x14ac:dyDescent="0.25"/>
    <row r="45" spans="1:11" hidden="1" thickBot="1" x14ac:dyDescent="0.35"/>
    <row r="46" spans="1:11" hidden="1" x14ac:dyDescent="0.25">
      <c r="A46" s="412" t="s">
        <v>31</v>
      </c>
      <c r="B46" s="404" t="s">
        <v>107</v>
      </c>
      <c r="C46" s="387" t="s">
        <v>108</v>
      </c>
      <c r="D46" s="387" t="s">
        <v>109</v>
      </c>
      <c r="E46" s="387" t="s">
        <v>53</v>
      </c>
      <c r="F46" s="407" t="s">
        <v>110</v>
      </c>
    </row>
    <row r="47" spans="1:11" hidden="1" x14ac:dyDescent="0.25">
      <c r="A47" s="413"/>
      <c r="B47" s="405"/>
      <c r="C47" s="388"/>
      <c r="D47" s="388"/>
      <c r="E47" s="388"/>
      <c r="F47" s="408"/>
      <c r="H47" s="286"/>
    </row>
    <row r="48" spans="1:11" ht="15.75" hidden="1" thickBot="1" x14ac:dyDescent="0.3">
      <c r="A48" s="414"/>
      <c r="B48" s="406"/>
      <c r="C48" s="389"/>
      <c r="D48" s="389"/>
      <c r="E48" s="389"/>
      <c r="F48" s="415"/>
    </row>
    <row r="49" spans="1:11" ht="15.75" hidden="1" thickTop="1" x14ac:dyDescent="0.25">
      <c r="A49" s="171" t="s">
        <v>32</v>
      </c>
      <c r="B49" s="176">
        <v>36710</v>
      </c>
      <c r="C49" s="287">
        <v>1324.4549999999999</v>
      </c>
      <c r="D49" s="288">
        <v>1075131.6000000001</v>
      </c>
      <c r="E49" s="51">
        <v>4717</v>
      </c>
      <c r="F49" s="289">
        <v>2241548</v>
      </c>
    </row>
    <row r="50" spans="1:11" hidden="1" x14ac:dyDescent="0.25">
      <c r="A50" s="172" t="s">
        <v>14</v>
      </c>
      <c r="B50" s="177">
        <v>20643</v>
      </c>
      <c r="C50" s="290">
        <v>4174.1350000000002</v>
      </c>
      <c r="D50" s="291">
        <v>845543.4</v>
      </c>
      <c r="E50" s="48">
        <v>1759</v>
      </c>
      <c r="F50" s="151">
        <v>2554628</v>
      </c>
    </row>
    <row r="51" spans="1:11" ht="14.45" hidden="1" x14ac:dyDescent="0.3">
      <c r="A51" s="172" t="s">
        <v>8</v>
      </c>
      <c r="B51" s="177">
        <v>99152</v>
      </c>
      <c r="C51" s="290">
        <v>1631.452</v>
      </c>
      <c r="D51" s="291">
        <v>1799507.9</v>
      </c>
      <c r="E51" s="48">
        <v>10359</v>
      </c>
      <c r="F51" s="151">
        <v>5027914</v>
      </c>
      <c r="J51" s="292"/>
      <c r="K51" s="293"/>
    </row>
    <row r="52" spans="1:11" ht="14.45" hidden="1" x14ac:dyDescent="0.3">
      <c r="A52" s="172" t="s">
        <v>11</v>
      </c>
      <c r="B52" s="177">
        <v>62212</v>
      </c>
      <c r="C52" s="290">
        <v>1317.912</v>
      </c>
      <c r="D52" s="291">
        <v>1024463.9</v>
      </c>
      <c r="E52" s="48">
        <v>7195</v>
      </c>
      <c r="F52" s="151">
        <v>3477377</v>
      </c>
      <c r="J52" s="294"/>
      <c r="K52" s="295"/>
    </row>
    <row r="53" spans="1:11" hidden="1" x14ac:dyDescent="0.25">
      <c r="A53" s="172" t="s">
        <v>6</v>
      </c>
      <c r="B53" s="177">
        <v>2205</v>
      </c>
      <c r="C53" s="290">
        <v>717.56399999999996</v>
      </c>
      <c r="D53" s="291">
        <v>53749</v>
      </c>
      <c r="E53" s="48">
        <v>160</v>
      </c>
      <c r="F53" s="151">
        <v>78185</v>
      </c>
      <c r="J53" s="294"/>
      <c r="K53" s="295"/>
    </row>
    <row r="54" spans="1:11" hidden="1" x14ac:dyDescent="0.25">
      <c r="A54" s="172" t="s">
        <v>18</v>
      </c>
      <c r="B54" s="177">
        <v>7747</v>
      </c>
      <c r="C54" s="290">
        <v>647.41600000000005</v>
      </c>
      <c r="D54" s="291">
        <v>324007.40000000002</v>
      </c>
      <c r="E54" s="48">
        <v>685</v>
      </c>
      <c r="F54" s="151">
        <v>651195</v>
      </c>
      <c r="J54" s="294"/>
      <c r="K54" s="295"/>
    </row>
    <row r="55" spans="1:11" hidden="1" x14ac:dyDescent="0.25">
      <c r="A55" s="172" t="s">
        <v>15</v>
      </c>
      <c r="B55" s="177">
        <v>4134</v>
      </c>
      <c r="C55" s="290">
        <v>1393.3869999999999</v>
      </c>
      <c r="D55" s="291">
        <v>149986.70000000001</v>
      </c>
      <c r="E55" s="48">
        <v>593</v>
      </c>
      <c r="F55" s="151">
        <v>124107</v>
      </c>
      <c r="J55" s="294"/>
      <c r="K55" s="295"/>
    </row>
    <row r="56" spans="1:11" ht="14.45" hidden="1" x14ac:dyDescent="0.3">
      <c r="A56" s="172" t="s">
        <v>13</v>
      </c>
      <c r="B56" s="177">
        <v>1349</v>
      </c>
      <c r="C56" s="290">
        <v>107.127</v>
      </c>
      <c r="D56" s="291">
        <v>61446</v>
      </c>
      <c r="E56" s="48">
        <v>0</v>
      </c>
      <c r="F56" s="151">
        <v>204230</v>
      </c>
      <c r="J56" s="294"/>
      <c r="K56" s="295"/>
    </row>
    <row r="57" spans="1:11" hidden="1" x14ac:dyDescent="0.25">
      <c r="A57" s="172" t="s">
        <v>33</v>
      </c>
      <c r="B57" s="177">
        <v>11500</v>
      </c>
      <c r="C57" s="290">
        <v>735.29600000000005</v>
      </c>
      <c r="D57" s="291">
        <v>381757.6</v>
      </c>
      <c r="E57" s="48">
        <v>798</v>
      </c>
      <c r="F57" s="151">
        <v>857614</v>
      </c>
      <c r="J57" s="294"/>
      <c r="K57" s="295"/>
    </row>
    <row r="58" spans="1:11" hidden="1" x14ac:dyDescent="0.25">
      <c r="A58" s="172" t="s">
        <v>9</v>
      </c>
      <c r="B58" s="177">
        <v>3219</v>
      </c>
      <c r="C58" s="290">
        <v>390.4</v>
      </c>
      <c r="D58" s="291">
        <v>87134</v>
      </c>
      <c r="E58" s="48">
        <v>474</v>
      </c>
      <c r="F58" s="151">
        <v>251614</v>
      </c>
      <c r="J58" s="294"/>
      <c r="K58" s="295"/>
    </row>
    <row r="59" spans="1:11" ht="14.45" hidden="1" x14ac:dyDescent="0.3">
      <c r="A59" s="172" t="s">
        <v>3</v>
      </c>
      <c r="B59" s="177">
        <v>1375</v>
      </c>
      <c r="C59" s="290">
        <v>213.64500000000001</v>
      </c>
      <c r="D59" s="291">
        <v>39236</v>
      </c>
      <c r="E59" s="48">
        <v>119</v>
      </c>
      <c r="F59" s="151">
        <v>144446</v>
      </c>
      <c r="J59" s="294"/>
      <c r="K59" s="295"/>
    </row>
    <row r="60" spans="1:11" hidden="1" x14ac:dyDescent="0.25">
      <c r="A60" s="172" t="s">
        <v>0</v>
      </c>
      <c r="B60" s="177">
        <v>1726</v>
      </c>
      <c r="C60" s="290">
        <v>529.51300000000003</v>
      </c>
      <c r="D60" s="291">
        <v>73673.5</v>
      </c>
      <c r="E60" s="48">
        <v>233</v>
      </c>
      <c r="F60" s="151">
        <v>275330</v>
      </c>
      <c r="J60" s="294"/>
      <c r="K60" s="295"/>
    </row>
    <row r="61" spans="1:11" hidden="1" x14ac:dyDescent="0.25">
      <c r="A61" s="172" t="s">
        <v>7</v>
      </c>
      <c r="B61" s="177">
        <v>713</v>
      </c>
      <c r="C61" s="290">
        <v>306.69799999999998</v>
      </c>
      <c r="D61" s="291">
        <v>46409.599999999999</v>
      </c>
      <c r="E61" s="48">
        <v>0</v>
      </c>
      <c r="F61" s="151">
        <v>450729</v>
      </c>
      <c r="J61" s="294"/>
      <c r="K61" s="295"/>
    </row>
    <row r="62" spans="1:11" ht="14.45" hidden="1" x14ac:dyDescent="0.3">
      <c r="A62" s="172" t="s">
        <v>12</v>
      </c>
      <c r="B62" s="177">
        <v>1221</v>
      </c>
      <c r="C62" s="290">
        <v>342.68</v>
      </c>
      <c r="D62" s="291">
        <v>32009.599999999999</v>
      </c>
      <c r="E62" s="48">
        <v>142</v>
      </c>
      <c r="F62" s="151">
        <v>227775</v>
      </c>
      <c r="J62" s="294"/>
      <c r="K62" s="295"/>
    </row>
    <row r="63" spans="1:11" hidden="1" x14ac:dyDescent="0.25">
      <c r="A63" s="172" t="s">
        <v>5</v>
      </c>
      <c r="B63" s="177">
        <v>3383</v>
      </c>
      <c r="C63" s="290">
        <v>289.15300000000002</v>
      </c>
      <c r="D63" s="291">
        <v>124167.6</v>
      </c>
      <c r="E63" s="48">
        <v>377</v>
      </c>
      <c r="F63" s="151">
        <v>215776</v>
      </c>
      <c r="J63" s="294"/>
      <c r="K63" s="295"/>
    </row>
    <row r="64" spans="1:11" ht="14.45" hidden="1" x14ac:dyDescent="0.3">
      <c r="A64" s="173" t="s">
        <v>34</v>
      </c>
      <c r="B64" s="177">
        <v>6326</v>
      </c>
      <c r="C64" s="290">
        <v>1665.92</v>
      </c>
      <c r="D64" s="291">
        <v>323890.8</v>
      </c>
      <c r="E64" s="48">
        <v>567</v>
      </c>
      <c r="F64" s="151">
        <v>740887</v>
      </c>
      <c r="J64" s="294"/>
      <c r="K64" s="295"/>
    </row>
    <row r="65" spans="1:11" hidden="1" x14ac:dyDescent="0.25">
      <c r="A65" s="172" t="s">
        <v>2</v>
      </c>
      <c r="B65" s="177">
        <v>2754</v>
      </c>
      <c r="C65" s="290">
        <v>658.80100000000004</v>
      </c>
      <c r="D65" s="291">
        <v>68628.600000000006</v>
      </c>
      <c r="E65" s="48">
        <v>354</v>
      </c>
      <c r="F65" s="151">
        <v>86924</v>
      </c>
      <c r="J65" s="294"/>
      <c r="K65" s="295"/>
    </row>
    <row r="66" spans="1:11" ht="14.45" hidden="1" x14ac:dyDescent="0.3">
      <c r="A66" s="172" t="s">
        <v>4</v>
      </c>
      <c r="B66" s="177">
        <v>1166</v>
      </c>
      <c r="C66" s="290">
        <v>402.68200000000002</v>
      </c>
      <c r="D66" s="291">
        <v>53592.2</v>
      </c>
      <c r="E66" s="48">
        <v>28</v>
      </c>
      <c r="F66" s="151">
        <v>142167</v>
      </c>
      <c r="J66" s="294"/>
      <c r="K66" s="295"/>
    </row>
    <row r="67" spans="1:11" ht="14.45" hidden="1" x14ac:dyDescent="0.3">
      <c r="A67" s="172" t="s">
        <v>35</v>
      </c>
      <c r="B67" s="177">
        <v>5035</v>
      </c>
      <c r="C67" s="290">
        <v>1724.9059999999999</v>
      </c>
      <c r="D67" s="291">
        <v>155284.70000000001</v>
      </c>
      <c r="E67" s="48">
        <v>532</v>
      </c>
      <c r="F67" s="151">
        <v>269537</v>
      </c>
      <c r="J67" s="294"/>
      <c r="K67" s="295"/>
    </row>
    <row r="68" spans="1:11" hidden="1" x14ac:dyDescent="0.25">
      <c r="A68" s="172" t="s">
        <v>1</v>
      </c>
      <c r="B68" s="177">
        <v>3831</v>
      </c>
      <c r="C68" s="290">
        <v>921.05200000000002</v>
      </c>
      <c r="D68" s="291">
        <v>156120.1</v>
      </c>
      <c r="E68" s="48">
        <v>466</v>
      </c>
      <c r="F68" s="151">
        <v>464204</v>
      </c>
      <c r="J68" s="294"/>
      <c r="K68" s="295"/>
    </row>
    <row r="69" spans="1:11" ht="14.45" hidden="1" x14ac:dyDescent="0.3">
      <c r="A69" s="172" t="s">
        <v>16</v>
      </c>
      <c r="B69" s="177">
        <v>4317</v>
      </c>
      <c r="C69" s="290">
        <v>1162.347</v>
      </c>
      <c r="D69" s="291">
        <v>235936.8</v>
      </c>
      <c r="E69" s="48">
        <v>531</v>
      </c>
      <c r="F69" s="151">
        <v>458638</v>
      </c>
      <c r="J69" s="294"/>
      <c r="K69" s="295"/>
    </row>
    <row r="70" spans="1:11" hidden="1" x14ac:dyDescent="0.25">
      <c r="A70" s="172" t="s">
        <v>17</v>
      </c>
      <c r="B70" s="177">
        <v>1922</v>
      </c>
      <c r="C70" s="290">
        <v>282.05700000000002</v>
      </c>
      <c r="D70" s="291">
        <v>90165.3</v>
      </c>
      <c r="E70" s="48">
        <v>0</v>
      </c>
      <c r="F70" s="151">
        <v>138861</v>
      </c>
      <c r="J70" s="294"/>
      <c r="K70" s="295"/>
    </row>
    <row r="71" spans="1:11" ht="15.75" hidden="1" thickBot="1" x14ac:dyDescent="0.3">
      <c r="A71" s="296" t="s">
        <v>10</v>
      </c>
      <c r="B71" s="297">
        <v>1503</v>
      </c>
      <c r="C71" s="298">
        <v>483.733</v>
      </c>
      <c r="D71" s="299">
        <v>37504.1</v>
      </c>
      <c r="E71" s="300">
        <v>38</v>
      </c>
      <c r="F71" s="301">
        <v>48362</v>
      </c>
      <c r="J71" s="294"/>
      <c r="K71" s="295"/>
    </row>
    <row r="72" spans="1:11" hidden="1" thickBot="1" x14ac:dyDescent="0.35">
      <c r="A72" s="302" t="s">
        <v>36</v>
      </c>
      <c r="B72" s="303">
        <f t="shared" ref="B72:D72" si="11">SUM(B49:B71)</f>
        <v>284143</v>
      </c>
      <c r="C72" s="304">
        <f t="shared" si="11"/>
        <v>21422.331000000006</v>
      </c>
      <c r="D72" s="305">
        <f t="shared" si="11"/>
        <v>7239346.3999999976</v>
      </c>
      <c r="E72" s="343">
        <f>SUM(E49:E71)</f>
        <v>30127</v>
      </c>
      <c r="F72" s="306">
        <f>SUM(F49:F71)</f>
        <v>19132048</v>
      </c>
      <c r="J72" s="294"/>
      <c r="K72" s="295"/>
    </row>
    <row r="73" spans="1:11" hidden="1" x14ac:dyDescent="0.25">
      <c r="A73" s="307" t="s">
        <v>111</v>
      </c>
      <c r="B73" s="308" t="s">
        <v>112</v>
      </c>
      <c r="C73" s="308" t="s">
        <v>113</v>
      </c>
      <c r="D73" s="308" t="s">
        <v>114</v>
      </c>
      <c r="E73" s="309" t="s">
        <v>115</v>
      </c>
      <c r="F73" s="309" t="s">
        <v>116</v>
      </c>
      <c r="J73" s="294"/>
      <c r="K73" s="295"/>
    </row>
    <row r="74" spans="1:11" hidden="1" x14ac:dyDescent="0.25">
      <c r="C74" s="310"/>
      <c r="E74" s="123" t="s">
        <v>125</v>
      </c>
      <c r="J74" s="294"/>
      <c r="K74" s="295"/>
    </row>
    <row r="75" spans="1:11" hidden="1" x14ac:dyDescent="0.25">
      <c r="J75" s="294"/>
      <c r="K75" s="294"/>
    </row>
    <row r="76" spans="1:11" hidden="1" x14ac:dyDescent="0.25">
      <c r="A76" s="282" t="s">
        <v>126</v>
      </c>
      <c r="F76" s="311"/>
      <c r="J76" s="292"/>
      <c r="K76" s="312"/>
    </row>
    <row r="77" spans="1:11" hidden="1" x14ac:dyDescent="0.25">
      <c r="A77" s="282" t="s">
        <v>127</v>
      </c>
      <c r="F77" s="311"/>
      <c r="J77" s="313"/>
    </row>
    <row r="78" spans="1:11" hidden="1" x14ac:dyDescent="0.25">
      <c r="A78" s="282" t="s">
        <v>128</v>
      </c>
      <c r="F78" s="311"/>
    </row>
    <row r="79" spans="1:11" hidden="1" x14ac:dyDescent="0.25"/>
    <row r="80" spans="1:11" hidden="1" x14ac:dyDescent="0.25">
      <c r="F80" s="311"/>
    </row>
    <row r="81" spans="6:6" x14ac:dyDescent="0.25">
      <c r="F81" s="344"/>
    </row>
  </sheetData>
  <mergeCells count="12">
    <mergeCell ref="F46:F48"/>
    <mergeCell ref="H7:K7"/>
    <mergeCell ref="A46:A48"/>
    <mergeCell ref="B46:B48"/>
    <mergeCell ref="C46:C48"/>
    <mergeCell ref="D46:D48"/>
    <mergeCell ref="E46:E48"/>
    <mergeCell ref="A10:A11"/>
    <mergeCell ref="C10:C11"/>
    <mergeCell ref="D10:D11"/>
    <mergeCell ref="E10:E11"/>
    <mergeCell ref="C43:D43"/>
  </mergeCells>
  <pageMargins left="0.70866141732283472" right="0.70866141732283472" top="0.78740157480314965" bottom="0.78740157480314965" header="0.31496062992125984" footer="0.31496062992125984"/>
  <pageSetup paperSize="9" scale="80" fitToHeight="0" orientation="landscape" r:id="rId1"/>
  <headerFooter differentFirst="1">
    <oddFooter>&amp;C&amp;P/&amp;N</oddFooter>
    <firstHeader>&amp;RPříloha č. 11</firstHeader>
    <firstFooter>&amp;C&amp;P/&amp;N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workbookViewId="0">
      <selection activeCell="M9" sqref="M9"/>
    </sheetView>
  </sheetViews>
  <sheetFormatPr defaultRowHeight="15" x14ac:dyDescent="0.25"/>
  <cols>
    <col min="1" max="1" width="23.42578125" customWidth="1"/>
    <col min="2" max="10" width="11.85546875" customWidth="1"/>
  </cols>
  <sheetData>
    <row r="1" spans="1:10" ht="18.75" x14ac:dyDescent="0.3">
      <c r="A1" s="326" t="s">
        <v>103</v>
      </c>
    </row>
    <row r="2" spans="1:10" x14ac:dyDescent="0.25">
      <c r="A2" s="237"/>
    </row>
    <row r="3" spans="1:10" x14ac:dyDescent="0.25">
      <c r="A3" t="s">
        <v>90</v>
      </c>
      <c r="D3" s="239">
        <v>7199334173</v>
      </c>
      <c r="E3" t="s">
        <v>133</v>
      </c>
      <c r="G3" s="155"/>
    </row>
    <row r="4" spans="1:10" x14ac:dyDescent="0.25">
      <c r="A4" t="s">
        <v>91</v>
      </c>
      <c r="D4" s="155">
        <f>SUM(D3*0.03)/1000</f>
        <v>215980.02518999999</v>
      </c>
      <c r="E4" t="s">
        <v>44</v>
      </c>
    </row>
    <row r="5" spans="1:10" x14ac:dyDescent="0.25">
      <c r="A5" t="s">
        <v>92</v>
      </c>
      <c r="D5" s="155">
        <v>23000</v>
      </c>
      <c r="E5" t="s">
        <v>44</v>
      </c>
    </row>
    <row r="6" spans="1:10" x14ac:dyDescent="0.25">
      <c r="A6" t="s">
        <v>93</v>
      </c>
      <c r="D6" s="155">
        <f>SUM(D4-D5)</f>
        <v>192980.02518999999</v>
      </c>
      <c r="E6" t="s">
        <v>44</v>
      </c>
    </row>
    <row r="7" spans="1:10" x14ac:dyDescent="0.25">
      <c r="J7" s="238" t="s">
        <v>47</v>
      </c>
    </row>
    <row r="8" spans="1:10" ht="15.75" thickBot="1" x14ac:dyDescent="0.3">
      <c r="E8" s="240">
        <v>0.55000000000000004</v>
      </c>
      <c r="F8" s="240">
        <v>0.15</v>
      </c>
      <c r="G8" s="240">
        <v>0.3</v>
      </c>
      <c r="H8" s="240"/>
      <c r="I8" s="240"/>
    </row>
    <row r="9" spans="1:10" ht="34.5" thickBot="1" x14ac:dyDescent="0.3">
      <c r="A9" s="254" t="s">
        <v>31</v>
      </c>
      <c r="B9" s="255" t="s">
        <v>102</v>
      </c>
      <c r="C9" s="256" t="s">
        <v>101</v>
      </c>
      <c r="D9" s="257" t="s">
        <v>94</v>
      </c>
      <c r="E9" s="258" t="s">
        <v>95</v>
      </c>
      <c r="F9" s="259" t="s">
        <v>96</v>
      </c>
      <c r="G9" s="260" t="s">
        <v>97</v>
      </c>
      <c r="H9" s="261" t="s">
        <v>98</v>
      </c>
      <c r="I9" s="256" t="s">
        <v>99</v>
      </c>
      <c r="J9" s="262" t="s">
        <v>23</v>
      </c>
    </row>
    <row r="10" spans="1:10" x14ac:dyDescent="0.25">
      <c r="A10" s="241" t="s">
        <v>32</v>
      </c>
      <c r="B10" s="242">
        <v>36710</v>
      </c>
      <c r="C10" s="45">
        <v>13.24</v>
      </c>
      <c r="D10" s="253">
        <v>1075131.6000000001</v>
      </c>
      <c r="E10" s="243">
        <f>SUM($D$6*$E$8/$B$33*$B10)</f>
        <v>13712.68410131059</v>
      </c>
      <c r="F10" s="45">
        <f>SUM($D$6*$F$8/$C$33*$C10)</f>
        <v>1789.0875269691905</v>
      </c>
      <c r="G10" s="167">
        <f>SUM($D$6*$G$8/$D$33*$D10)</f>
        <v>8597.9691447241039</v>
      </c>
      <c r="H10" s="244">
        <v>1000</v>
      </c>
      <c r="I10" s="245">
        <f>SUM(E10+F10+G10)</f>
        <v>24099.740773003883</v>
      </c>
      <c r="J10" s="236">
        <f>SUM(H10+I10)</f>
        <v>25099.740773003883</v>
      </c>
    </row>
    <row r="11" spans="1:10" x14ac:dyDescent="0.25">
      <c r="A11" s="246" t="s">
        <v>14</v>
      </c>
      <c r="B11" s="247">
        <v>20643</v>
      </c>
      <c r="C11" s="40">
        <v>41.74</v>
      </c>
      <c r="D11" s="216">
        <v>845543.4</v>
      </c>
      <c r="E11" s="243">
        <f t="shared" ref="E11:E32" si="0">SUM($D$6*$E$8/$B$33*$B11)</f>
        <v>7711.0034841556662</v>
      </c>
      <c r="F11" s="45">
        <f t="shared" ref="F11:F32" si="1">SUM($D$6*$F$8/$C$33*$C11)</f>
        <v>5640.2200434814213</v>
      </c>
      <c r="G11" s="167">
        <f t="shared" ref="G11:G32" si="2">SUM($D$6*$G$8/$D$33*$D11)</f>
        <v>6761.9220416599337</v>
      </c>
      <c r="H11" s="244">
        <v>1000</v>
      </c>
      <c r="I11" s="245">
        <f t="shared" ref="I11:I32" si="3">SUM(E11+F11+G11)</f>
        <v>20113.145569297023</v>
      </c>
      <c r="J11" s="236">
        <f t="shared" ref="J11:J32" si="4">SUM(H11+I11)</f>
        <v>21113.145569297023</v>
      </c>
    </row>
    <row r="12" spans="1:10" x14ac:dyDescent="0.25">
      <c r="A12" s="246" t="s">
        <v>8</v>
      </c>
      <c r="B12" s="247">
        <v>99152</v>
      </c>
      <c r="C12" s="40">
        <v>16.309999999999999</v>
      </c>
      <c r="D12" s="216">
        <v>1799507.9</v>
      </c>
      <c r="E12" s="243">
        <f t="shared" si="0"/>
        <v>37037.321002809796</v>
      </c>
      <c r="F12" s="45">
        <f t="shared" si="1"/>
        <v>2203.9288190987531</v>
      </c>
      <c r="G12" s="167">
        <f t="shared" si="2"/>
        <v>14390.901913670166</v>
      </c>
      <c r="H12" s="244">
        <v>1000</v>
      </c>
      <c r="I12" s="245">
        <f t="shared" si="3"/>
        <v>53632.151735578715</v>
      </c>
      <c r="J12" s="236">
        <f t="shared" si="4"/>
        <v>54632.151735578715</v>
      </c>
    </row>
    <row r="13" spans="1:10" x14ac:dyDescent="0.25">
      <c r="A13" s="246" t="s">
        <v>11</v>
      </c>
      <c r="B13" s="247">
        <v>62212</v>
      </c>
      <c r="C13" s="40">
        <v>13.18</v>
      </c>
      <c r="D13" s="216">
        <v>1024463.9</v>
      </c>
      <c r="E13" s="243">
        <f t="shared" si="0"/>
        <v>23238.722509145584</v>
      </c>
      <c r="F13" s="45">
        <f t="shared" si="1"/>
        <v>1780.9798795660067</v>
      </c>
      <c r="G13" s="167">
        <f t="shared" si="2"/>
        <v>8192.7728680690998</v>
      </c>
      <c r="H13" s="244">
        <v>1000</v>
      </c>
      <c r="I13" s="245">
        <v>33213</v>
      </c>
      <c r="J13" s="236">
        <f t="shared" si="4"/>
        <v>34213</v>
      </c>
    </row>
    <row r="14" spans="1:10" x14ac:dyDescent="0.25">
      <c r="A14" s="246" t="s">
        <v>6</v>
      </c>
      <c r="B14" s="247">
        <v>2205</v>
      </c>
      <c r="C14" s="40">
        <v>7.18</v>
      </c>
      <c r="D14" s="216">
        <v>53749</v>
      </c>
      <c r="E14" s="243">
        <f t="shared" si="0"/>
        <v>823.65754408580358</v>
      </c>
      <c r="F14" s="45">
        <f t="shared" si="1"/>
        <v>970.21513924764258</v>
      </c>
      <c r="G14" s="167">
        <f t="shared" si="2"/>
        <v>429.83783897689904</v>
      </c>
      <c r="H14" s="244">
        <v>1000</v>
      </c>
      <c r="I14" s="245">
        <f>SUM(E14+F14+G14)</f>
        <v>2223.7105223103454</v>
      </c>
      <c r="J14" s="236">
        <f t="shared" si="4"/>
        <v>3223.7105223103454</v>
      </c>
    </row>
    <row r="15" spans="1:10" x14ac:dyDescent="0.25">
      <c r="A15" s="246" t="s">
        <v>18</v>
      </c>
      <c r="B15" s="247">
        <v>7747</v>
      </c>
      <c r="C15" s="40">
        <v>6.47</v>
      </c>
      <c r="D15" s="216">
        <v>324007.40000000002</v>
      </c>
      <c r="E15" s="243">
        <f t="shared" si="0"/>
        <v>2893.8208589717551</v>
      </c>
      <c r="F15" s="45">
        <f t="shared" si="1"/>
        <v>874.27464497663607</v>
      </c>
      <c r="G15" s="167">
        <f t="shared" si="2"/>
        <v>2591.1298931798497</v>
      </c>
      <c r="H15" s="244">
        <v>1000</v>
      </c>
      <c r="I15" s="245">
        <f t="shared" si="3"/>
        <v>6359.2253971282407</v>
      </c>
      <c r="J15" s="236">
        <f t="shared" si="4"/>
        <v>7359.2253971282407</v>
      </c>
    </row>
    <row r="16" spans="1:10" x14ac:dyDescent="0.25">
      <c r="A16" s="246" t="s">
        <v>15</v>
      </c>
      <c r="B16" s="247">
        <v>4134</v>
      </c>
      <c r="C16" s="40">
        <v>13.93</v>
      </c>
      <c r="D16" s="216">
        <v>149986.70000000001</v>
      </c>
      <c r="E16" s="243">
        <f t="shared" si="0"/>
        <v>1544.2178173472616</v>
      </c>
      <c r="F16" s="45">
        <f t="shared" si="1"/>
        <v>1882.3254721058024</v>
      </c>
      <c r="G16" s="167">
        <f t="shared" si="2"/>
        <v>1199.4634133337638</v>
      </c>
      <c r="H16" s="244">
        <v>1000</v>
      </c>
      <c r="I16" s="245">
        <f t="shared" si="3"/>
        <v>4626.0067027868281</v>
      </c>
      <c r="J16" s="236">
        <f t="shared" si="4"/>
        <v>5626.0067027868281</v>
      </c>
    </row>
    <row r="17" spans="1:10" x14ac:dyDescent="0.25">
      <c r="A17" s="246" t="s">
        <v>13</v>
      </c>
      <c r="B17" s="247">
        <v>1349</v>
      </c>
      <c r="C17" s="40">
        <v>1.07</v>
      </c>
      <c r="D17" s="216">
        <v>61446</v>
      </c>
      <c r="E17" s="243">
        <f t="shared" si="0"/>
        <v>503.90658819580455</v>
      </c>
      <c r="F17" s="45">
        <f t="shared" si="1"/>
        <v>144.58637869010829</v>
      </c>
      <c r="G17" s="167">
        <f t="shared" si="2"/>
        <v>491.39176270766973</v>
      </c>
      <c r="H17" s="244">
        <v>1000</v>
      </c>
      <c r="I17" s="245">
        <f>SUM(E17+F17+G17)</f>
        <v>1139.8847295935825</v>
      </c>
      <c r="J17" s="236">
        <f t="shared" si="4"/>
        <v>2139.8847295935825</v>
      </c>
    </row>
    <row r="18" spans="1:10" x14ac:dyDescent="0.25">
      <c r="A18" s="246" t="s">
        <v>33</v>
      </c>
      <c r="B18" s="247">
        <v>11500</v>
      </c>
      <c r="C18" s="40">
        <v>7.35</v>
      </c>
      <c r="D18" s="216">
        <v>381757.6</v>
      </c>
      <c r="E18" s="243">
        <f t="shared" si="0"/>
        <v>4295.7196176810621</v>
      </c>
      <c r="F18" s="45">
        <f t="shared" si="1"/>
        <v>993.18680688999621</v>
      </c>
      <c r="G18" s="167">
        <f t="shared" si="2"/>
        <v>3052.9658560532744</v>
      </c>
      <c r="H18" s="244">
        <v>1000</v>
      </c>
      <c r="I18" s="245">
        <f t="shared" si="3"/>
        <v>8341.8722806243313</v>
      </c>
      <c r="J18" s="236">
        <f t="shared" si="4"/>
        <v>9341.8722806243313</v>
      </c>
    </row>
    <row r="19" spans="1:10" x14ac:dyDescent="0.25">
      <c r="A19" s="246" t="s">
        <v>9</v>
      </c>
      <c r="B19" s="247">
        <v>3219</v>
      </c>
      <c r="C19" s="40">
        <v>3.9</v>
      </c>
      <c r="D19" s="216">
        <v>87134</v>
      </c>
      <c r="E19" s="243">
        <f t="shared" si="0"/>
        <v>1202.4279521143771</v>
      </c>
      <c r="F19" s="45">
        <f t="shared" si="1"/>
        <v>526.99708120693674</v>
      </c>
      <c r="G19" s="167">
        <f t="shared" si="2"/>
        <v>696.82208527438877</v>
      </c>
      <c r="H19" s="244">
        <v>1000</v>
      </c>
      <c r="I19" s="245">
        <f t="shared" si="3"/>
        <v>2426.2471185957029</v>
      </c>
      <c r="J19" s="236">
        <f t="shared" si="4"/>
        <v>3426.2471185957029</v>
      </c>
    </row>
    <row r="20" spans="1:10" x14ac:dyDescent="0.25">
      <c r="A20" s="246" t="s">
        <v>3</v>
      </c>
      <c r="B20" s="247">
        <v>1375</v>
      </c>
      <c r="C20" s="40">
        <v>2.14</v>
      </c>
      <c r="D20" s="216">
        <v>39236</v>
      </c>
      <c r="E20" s="243">
        <f t="shared" si="0"/>
        <v>513.61864994012694</v>
      </c>
      <c r="F20" s="45">
        <f t="shared" si="1"/>
        <v>289.17275738021658</v>
      </c>
      <c r="G20" s="167">
        <f t="shared" si="2"/>
        <v>313.77546466162369</v>
      </c>
      <c r="H20" s="244">
        <v>1000</v>
      </c>
      <c r="I20" s="245">
        <f t="shared" si="3"/>
        <v>1116.5668719819673</v>
      </c>
      <c r="J20" s="236">
        <f t="shared" si="4"/>
        <v>2116.5668719819673</v>
      </c>
    </row>
    <row r="21" spans="1:10" x14ac:dyDescent="0.25">
      <c r="A21" s="246" t="s">
        <v>0</v>
      </c>
      <c r="B21" s="247">
        <v>1726</v>
      </c>
      <c r="C21" s="40">
        <v>5.3</v>
      </c>
      <c r="D21" s="216">
        <v>73673.5</v>
      </c>
      <c r="E21" s="243">
        <f t="shared" si="0"/>
        <v>644.7314834884794</v>
      </c>
      <c r="F21" s="45">
        <f t="shared" si="1"/>
        <v>716.17552061455513</v>
      </c>
      <c r="G21" s="167">
        <f t="shared" si="2"/>
        <v>589.17669221501001</v>
      </c>
      <c r="H21" s="244">
        <v>1000</v>
      </c>
      <c r="I21" s="245">
        <f t="shared" si="3"/>
        <v>1950.0836963180445</v>
      </c>
      <c r="J21" s="236">
        <f t="shared" si="4"/>
        <v>2950.0836963180445</v>
      </c>
    </row>
    <row r="22" spans="1:10" x14ac:dyDescent="0.25">
      <c r="A22" s="246" t="s">
        <v>7</v>
      </c>
      <c r="B22" s="247">
        <v>713</v>
      </c>
      <c r="C22" s="40">
        <v>3.07</v>
      </c>
      <c r="D22" s="216">
        <v>46409.599999999999</v>
      </c>
      <c r="E22" s="243">
        <f t="shared" si="0"/>
        <v>266.33461629622582</v>
      </c>
      <c r="F22" s="45">
        <f t="shared" si="1"/>
        <v>414.84129212956304</v>
      </c>
      <c r="G22" s="167">
        <f t="shared" si="2"/>
        <v>371.14368959017457</v>
      </c>
      <c r="H22" s="244">
        <v>1000</v>
      </c>
      <c r="I22" s="245">
        <f>SUM(E22+F22+G22)</f>
        <v>1052.3195980159635</v>
      </c>
      <c r="J22" s="236">
        <f t="shared" si="4"/>
        <v>2052.3195980159635</v>
      </c>
    </row>
    <row r="23" spans="1:10" ht="14.45" x14ac:dyDescent="0.3">
      <c r="A23" s="246" t="s">
        <v>12</v>
      </c>
      <c r="B23" s="247">
        <v>1221</v>
      </c>
      <c r="C23" s="40">
        <v>3.43</v>
      </c>
      <c r="D23" s="216">
        <v>32009.599999999999</v>
      </c>
      <c r="E23" s="243">
        <f t="shared" si="0"/>
        <v>456.09336114683271</v>
      </c>
      <c r="F23" s="45">
        <f t="shared" si="1"/>
        <v>463.48717654866493</v>
      </c>
      <c r="G23" s="167">
        <f t="shared" si="2"/>
        <v>255.98499117220689</v>
      </c>
      <c r="H23" s="244">
        <v>1000</v>
      </c>
      <c r="I23" s="245">
        <f t="shared" si="3"/>
        <v>1175.5655288677046</v>
      </c>
      <c r="J23" s="236">
        <f t="shared" si="4"/>
        <v>2175.5655288677044</v>
      </c>
    </row>
    <row r="24" spans="1:10" x14ac:dyDescent="0.25">
      <c r="A24" s="246" t="s">
        <v>5</v>
      </c>
      <c r="B24" s="247">
        <v>3383</v>
      </c>
      <c r="C24" s="40">
        <v>2.89</v>
      </c>
      <c r="D24" s="216">
        <v>124167.6</v>
      </c>
      <c r="E24" s="243">
        <f t="shared" si="0"/>
        <v>1263.6886492708722</v>
      </c>
      <c r="F24" s="45">
        <f t="shared" si="1"/>
        <v>390.51834992001216</v>
      </c>
      <c r="G24" s="167">
        <f t="shared" si="2"/>
        <v>992.98466678353111</v>
      </c>
      <c r="H24" s="244">
        <v>1000</v>
      </c>
      <c r="I24" s="245">
        <f>SUM(E24+F24+G24)</f>
        <v>2647.1916659744156</v>
      </c>
      <c r="J24" s="236">
        <f t="shared" si="4"/>
        <v>3647.1916659744156</v>
      </c>
    </row>
    <row r="25" spans="1:10" ht="14.45" x14ac:dyDescent="0.3">
      <c r="A25" s="248" t="s">
        <v>34</v>
      </c>
      <c r="B25" s="247">
        <v>6326</v>
      </c>
      <c r="C25" s="40">
        <v>16.66</v>
      </c>
      <c r="D25" s="216">
        <v>323890.8</v>
      </c>
      <c r="E25" s="243">
        <f t="shared" si="0"/>
        <v>2363.0193305609041</v>
      </c>
      <c r="F25" s="45">
        <f t="shared" si="1"/>
        <v>2251.2234289506582</v>
      </c>
      <c r="G25" s="167">
        <f t="shared" si="2"/>
        <v>2590.1974276079372</v>
      </c>
      <c r="H25" s="244">
        <v>1000</v>
      </c>
      <c r="I25" s="245">
        <f>SUM(E25+F25+G25)</f>
        <v>7204.4401871194996</v>
      </c>
      <c r="J25" s="236">
        <f t="shared" si="4"/>
        <v>8204.4401871195005</v>
      </c>
    </row>
    <row r="26" spans="1:10" x14ac:dyDescent="0.25">
      <c r="A26" s="246" t="s">
        <v>2</v>
      </c>
      <c r="B26" s="247">
        <v>2754</v>
      </c>
      <c r="C26" s="40">
        <v>6.59</v>
      </c>
      <c r="D26" s="216">
        <v>68628.600000000006</v>
      </c>
      <c r="E26" s="243">
        <f t="shared" si="0"/>
        <v>1028.7314632255343</v>
      </c>
      <c r="F26" s="45">
        <f t="shared" si="1"/>
        <v>890.48993978300336</v>
      </c>
      <c r="G26" s="167">
        <f t="shared" si="2"/>
        <v>548.83196182273196</v>
      </c>
      <c r="H26" s="244">
        <v>1000</v>
      </c>
      <c r="I26" s="245">
        <f t="shared" si="3"/>
        <v>2468.0533648312694</v>
      </c>
      <c r="J26" s="236">
        <f t="shared" si="4"/>
        <v>3468.0533648312694</v>
      </c>
    </row>
    <row r="27" spans="1:10" ht="14.45" x14ac:dyDescent="0.3">
      <c r="A27" s="246" t="s">
        <v>4</v>
      </c>
      <c r="B27" s="247">
        <v>1166</v>
      </c>
      <c r="C27" s="40">
        <v>4.03</v>
      </c>
      <c r="D27" s="216">
        <v>53592.2</v>
      </c>
      <c r="E27" s="243">
        <f t="shared" si="0"/>
        <v>435.54861514922766</v>
      </c>
      <c r="F27" s="45">
        <f t="shared" si="1"/>
        <v>544.56365058050142</v>
      </c>
      <c r="G27" s="167">
        <f t="shared" si="2"/>
        <v>428.58388870523675</v>
      </c>
      <c r="H27" s="244">
        <v>1000</v>
      </c>
      <c r="I27" s="245">
        <f>SUM(E27+F27+G27)</f>
        <v>1408.6961544349658</v>
      </c>
      <c r="J27" s="236">
        <f t="shared" si="4"/>
        <v>2408.696154434966</v>
      </c>
    </row>
    <row r="28" spans="1:10" ht="14.45" x14ac:dyDescent="0.3">
      <c r="A28" s="246" t="s">
        <v>22</v>
      </c>
      <c r="B28" s="247">
        <v>5035</v>
      </c>
      <c r="C28" s="40">
        <v>17.25</v>
      </c>
      <c r="D28" s="216">
        <v>155284.70000000001</v>
      </c>
      <c r="E28" s="243">
        <f t="shared" si="0"/>
        <v>1880.7781108716649</v>
      </c>
      <c r="F28" s="45">
        <f t="shared" si="1"/>
        <v>2330.9486284152972</v>
      </c>
      <c r="G28" s="167">
        <f t="shared" si="2"/>
        <v>1241.8322177933744</v>
      </c>
      <c r="H28" s="244">
        <v>1000</v>
      </c>
      <c r="I28" s="245">
        <v>5453</v>
      </c>
      <c r="J28" s="236">
        <f t="shared" si="4"/>
        <v>6453</v>
      </c>
    </row>
    <row r="29" spans="1:10" x14ac:dyDescent="0.25">
      <c r="A29" s="246" t="s">
        <v>1</v>
      </c>
      <c r="B29" s="247">
        <v>3831</v>
      </c>
      <c r="C29" s="40">
        <v>9.2100000000000009</v>
      </c>
      <c r="D29" s="216">
        <v>156120.1</v>
      </c>
      <c r="E29" s="243">
        <f t="shared" si="0"/>
        <v>1431.0349439422737</v>
      </c>
      <c r="F29" s="45">
        <f t="shared" si="1"/>
        <v>1244.5238763886894</v>
      </c>
      <c r="G29" s="167">
        <f t="shared" si="2"/>
        <v>1248.5130217279834</v>
      </c>
      <c r="H29" s="244">
        <v>1000</v>
      </c>
      <c r="I29" s="245">
        <f t="shared" si="3"/>
        <v>3924.0718420589465</v>
      </c>
      <c r="J29" s="236">
        <f t="shared" si="4"/>
        <v>4924.0718420589465</v>
      </c>
    </row>
    <row r="30" spans="1:10" ht="14.45" x14ac:dyDescent="0.3">
      <c r="A30" s="246" t="s">
        <v>16</v>
      </c>
      <c r="B30" s="247">
        <v>4317</v>
      </c>
      <c r="C30" s="40">
        <v>11.62</v>
      </c>
      <c r="D30" s="216">
        <v>235936.8</v>
      </c>
      <c r="E30" s="243">
        <f t="shared" si="0"/>
        <v>1612.5757903938386</v>
      </c>
      <c r="F30" s="45">
        <f t="shared" si="1"/>
        <v>1570.181047083232</v>
      </c>
      <c r="G30" s="167">
        <f t="shared" si="2"/>
        <v>1886.8176942291918</v>
      </c>
      <c r="H30" s="244">
        <v>1000</v>
      </c>
      <c r="I30" s="245">
        <f>SUM(E30+F30+G30)</f>
        <v>5069.5745317062629</v>
      </c>
      <c r="J30" s="236">
        <f t="shared" si="4"/>
        <v>6069.5745317062629</v>
      </c>
    </row>
    <row r="31" spans="1:10" x14ac:dyDescent="0.25">
      <c r="A31" s="246" t="s">
        <v>17</v>
      </c>
      <c r="B31" s="247">
        <v>1922</v>
      </c>
      <c r="C31" s="40">
        <v>2.82</v>
      </c>
      <c r="D31" s="216">
        <v>90165.3</v>
      </c>
      <c r="E31" s="243">
        <f t="shared" si="0"/>
        <v>717.94548740721746</v>
      </c>
      <c r="F31" s="45">
        <f t="shared" si="1"/>
        <v>381.05942794963119</v>
      </c>
      <c r="G31" s="167">
        <f t="shared" si="2"/>
        <v>721.06379100455445</v>
      </c>
      <c r="H31" s="244">
        <v>1000</v>
      </c>
      <c r="I31" s="245">
        <f t="shared" si="3"/>
        <v>1820.0687063614032</v>
      </c>
      <c r="J31" s="236">
        <f t="shared" si="4"/>
        <v>2820.0687063614032</v>
      </c>
    </row>
    <row r="32" spans="1:10" ht="15.75" thickBot="1" x14ac:dyDescent="0.3">
      <c r="A32" s="249" t="s">
        <v>10</v>
      </c>
      <c r="B32" s="250">
        <v>1503</v>
      </c>
      <c r="C32" s="59">
        <v>4.84</v>
      </c>
      <c r="D32" s="223">
        <v>37504.1</v>
      </c>
      <c r="E32" s="251">
        <f t="shared" si="0"/>
        <v>561.43187698909878</v>
      </c>
      <c r="F32" s="59">
        <f t="shared" si="1"/>
        <v>654.01689052348047</v>
      </c>
      <c r="G32" s="169">
        <f t="shared" si="2"/>
        <v>299.9252320373127</v>
      </c>
      <c r="H32" s="205">
        <v>1000</v>
      </c>
      <c r="I32" s="252">
        <f t="shared" si="3"/>
        <v>1515.373999549892</v>
      </c>
      <c r="J32" s="229">
        <f t="shared" si="4"/>
        <v>2515.3739995498918</v>
      </c>
    </row>
    <row r="33" spans="1:10" ht="15.6" thickTop="1" thickBot="1" x14ac:dyDescent="0.35">
      <c r="A33" s="263" t="s">
        <v>100</v>
      </c>
      <c r="B33" s="264">
        <f t="shared" ref="B33:J33" si="5">SUM(B10:B32)</f>
        <v>284143</v>
      </c>
      <c r="C33" s="265">
        <f t="shared" si="5"/>
        <v>214.22</v>
      </c>
      <c r="D33" s="266">
        <f t="shared" si="5"/>
        <v>7239346.3999999976</v>
      </c>
      <c r="E33" s="267">
        <f t="shared" si="5"/>
        <v>106139.01385449996</v>
      </c>
      <c r="F33" s="265">
        <f t="shared" si="5"/>
        <v>28947.003778500002</v>
      </c>
      <c r="G33" s="268">
        <f t="shared" si="5"/>
        <v>57894.007557000004</v>
      </c>
      <c r="H33" s="269">
        <f t="shared" si="5"/>
        <v>23000</v>
      </c>
      <c r="I33" s="270">
        <f t="shared" si="5"/>
        <v>192979.99097613894</v>
      </c>
      <c r="J33" s="269">
        <f t="shared" si="5"/>
        <v>215979.99097613894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6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33" sqref="B33"/>
    </sheetView>
  </sheetViews>
  <sheetFormatPr defaultRowHeight="15" x14ac:dyDescent="0.25"/>
  <cols>
    <col min="1" max="1" width="55" customWidth="1"/>
    <col min="2" max="2" width="12.42578125" customWidth="1"/>
    <col min="3" max="3" width="12.28515625" customWidth="1"/>
  </cols>
  <sheetData>
    <row r="1" spans="1:3" ht="39.75" customHeight="1" x14ac:dyDescent="0.25">
      <c r="A1" s="423" t="s">
        <v>121</v>
      </c>
      <c r="B1" s="424"/>
      <c r="C1" s="424"/>
    </row>
    <row r="2" spans="1:3" thickBot="1" x14ac:dyDescent="0.35">
      <c r="C2" s="123"/>
    </row>
    <row r="3" spans="1:3" x14ac:dyDescent="0.25">
      <c r="A3" s="314" t="s">
        <v>117</v>
      </c>
      <c r="B3" s="315" t="s">
        <v>118</v>
      </c>
      <c r="C3" s="316" t="s">
        <v>119</v>
      </c>
    </row>
    <row r="4" spans="1:3" x14ac:dyDescent="0.25">
      <c r="A4" s="317" t="s">
        <v>14</v>
      </c>
      <c r="B4" s="318">
        <v>12339</v>
      </c>
      <c r="C4" s="319">
        <v>3595</v>
      </c>
    </row>
    <row r="5" spans="1:3" ht="14.45" x14ac:dyDescent="0.3">
      <c r="A5" s="317" t="s">
        <v>8</v>
      </c>
      <c r="B5" s="318">
        <v>9500</v>
      </c>
      <c r="C5" s="319">
        <v>3595</v>
      </c>
    </row>
    <row r="6" spans="1:3" x14ac:dyDescent="0.25">
      <c r="A6" s="320" t="s">
        <v>18</v>
      </c>
      <c r="B6" s="76">
        <v>2800</v>
      </c>
      <c r="C6" s="321">
        <v>3595</v>
      </c>
    </row>
    <row r="7" spans="1:3" ht="14.45" x14ac:dyDescent="0.3">
      <c r="A7" s="320" t="s">
        <v>13</v>
      </c>
      <c r="B7" s="76">
        <v>2120</v>
      </c>
      <c r="C7" s="321">
        <v>3595</v>
      </c>
    </row>
    <row r="8" spans="1:3" ht="14.45" x14ac:dyDescent="0.3">
      <c r="A8" s="320" t="s">
        <v>3</v>
      </c>
      <c r="B8" s="76">
        <v>953</v>
      </c>
      <c r="C8" s="321">
        <v>3595</v>
      </c>
    </row>
    <row r="9" spans="1:3" x14ac:dyDescent="0.25">
      <c r="A9" s="320" t="s">
        <v>0</v>
      </c>
      <c r="B9" s="76">
        <v>1484</v>
      </c>
      <c r="C9" s="321">
        <v>3595</v>
      </c>
    </row>
    <row r="10" spans="1:3" x14ac:dyDescent="0.25">
      <c r="A10" s="320" t="s">
        <v>7</v>
      </c>
      <c r="B10" s="76">
        <v>977</v>
      </c>
      <c r="C10" s="321">
        <v>3595</v>
      </c>
    </row>
    <row r="11" spans="1:3" ht="14.45" x14ac:dyDescent="0.3">
      <c r="A11" s="320" t="s">
        <v>12</v>
      </c>
      <c r="B11" s="76">
        <v>4246</v>
      </c>
      <c r="C11" s="321">
        <v>3595</v>
      </c>
    </row>
    <row r="12" spans="1:3" x14ac:dyDescent="0.25">
      <c r="A12" s="320" t="s">
        <v>5</v>
      </c>
      <c r="B12" s="76">
        <v>3380</v>
      </c>
      <c r="C12" s="321">
        <v>3595</v>
      </c>
    </row>
    <row r="13" spans="1:3" ht="14.45" x14ac:dyDescent="0.3">
      <c r="A13" s="320" t="s">
        <v>4</v>
      </c>
      <c r="B13" s="76">
        <v>4283</v>
      </c>
      <c r="C13" s="321">
        <v>3595</v>
      </c>
    </row>
    <row r="14" spans="1:3" ht="14.45" x14ac:dyDescent="0.3">
      <c r="A14" s="322" t="s">
        <v>16</v>
      </c>
      <c r="B14" s="76">
        <v>11198</v>
      </c>
      <c r="C14" s="321">
        <v>3595</v>
      </c>
    </row>
    <row r="15" spans="1:3" x14ac:dyDescent="0.25">
      <c r="A15" s="320" t="s">
        <v>17</v>
      </c>
      <c r="B15" s="76">
        <v>4435</v>
      </c>
      <c r="C15" s="321">
        <v>3595</v>
      </c>
    </row>
    <row r="16" spans="1:3" ht="15.75" thickBot="1" x14ac:dyDescent="0.3">
      <c r="A16" s="322" t="s">
        <v>10</v>
      </c>
      <c r="B16" s="76">
        <v>6643</v>
      </c>
      <c r="C16" s="321">
        <v>3595</v>
      </c>
    </row>
    <row r="17" spans="1:3" ht="19.5" thickBot="1" x14ac:dyDescent="0.35">
      <c r="A17" s="323" t="s">
        <v>120</v>
      </c>
      <c r="B17" s="324">
        <f>SUM(B4:B16)</f>
        <v>64358</v>
      </c>
      <c r="C17" s="325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Rozdělení neinvest. dotace MO</vt:lpstr>
      <vt:lpstr>NID 2017</vt:lpstr>
      <vt:lpstr>NID 2018- I.verze</vt:lpstr>
      <vt:lpstr>NID 2018-II.verze</vt:lpstr>
      <vt:lpstr>NID 2018-III.verze</vt:lpstr>
      <vt:lpstr>neúčelová NIV</vt:lpstr>
      <vt:lpstr>neúčelová INV</vt:lpstr>
      <vt:lpstr>převod INV</vt:lpstr>
      <vt:lpstr>'neúčelová NIV'!Oblast_tisku</vt:lpstr>
      <vt:lpstr>'Rozdělení neinvest. dotace MO'!Oblast_tisku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Dannhoferová Irena</cp:lastModifiedBy>
  <cp:lastPrinted>2020-12-29T14:29:39Z</cp:lastPrinted>
  <dcterms:created xsi:type="dcterms:W3CDTF">2015-08-10T14:08:21Z</dcterms:created>
  <dcterms:modified xsi:type="dcterms:W3CDTF">2020-12-29T14:29:42Z</dcterms:modified>
</cp:coreProperties>
</file>