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60" windowWidth="27795" windowHeight="11745" activeTab="1"/>
  </bookViews>
  <sheets>
    <sheet name="SUMÁŘ DLE ORJ" sheetId="3" r:id="rId1"/>
    <sheet name="PODLE ORJ" sheetId="2" r:id="rId2"/>
    <sheet name="Příloha B - Pitná voda" sheetId="8" r:id="rId3"/>
    <sheet name="Příloha C - kanalizace" sheetId="9" r:id="rId4"/>
  </sheets>
  <definedNames>
    <definedName name="_xlnm.Print_Titles" localSheetId="1">'PODLE ORJ'!$1:$8</definedName>
    <definedName name="_xlnm.Print_Titles" localSheetId="2">'Příloha B - Pitná voda'!$5:$8</definedName>
    <definedName name="_xlnm.Print_Titles" localSheetId="3">'Příloha C - kanalizace'!$6:$9</definedName>
    <definedName name="_xlnm.Print_Area" localSheetId="1">'PODLE ORJ'!$D$1:$AA$316</definedName>
    <definedName name="_xlnm.Print_Area" localSheetId="2">'Příloha B - Pitná voda'!$C$1:$Z$38</definedName>
    <definedName name="_xlnm.Print_Area" localSheetId="3">'Příloha C - kanalizace'!$C$1:$Z$76</definedName>
  </definedNames>
  <calcPr calcId="145621"/>
</workbook>
</file>

<file path=xl/calcChain.xml><?xml version="1.0" encoding="utf-8"?>
<calcChain xmlns="http://schemas.openxmlformats.org/spreadsheetml/2006/main">
  <c r="C8" i="3" l="1"/>
  <c r="D8" i="3"/>
  <c r="E8" i="3"/>
  <c r="F8" i="3"/>
  <c r="G8" i="3"/>
  <c r="H8" i="3"/>
  <c r="I8" i="3"/>
  <c r="J8" i="3"/>
  <c r="K8" i="3"/>
  <c r="L8" i="3"/>
  <c r="M8" i="3"/>
  <c r="N8" i="3"/>
  <c r="O8" i="3"/>
  <c r="P8" i="3"/>
  <c r="B8" i="3"/>
  <c r="B9" i="3"/>
  <c r="N316" i="2"/>
  <c r="O316" i="2"/>
  <c r="P316" i="2"/>
  <c r="Q316" i="2"/>
  <c r="R316" i="2"/>
  <c r="S316" i="2"/>
  <c r="T316" i="2"/>
  <c r="U316" i="2"/>
  <c r="V316" i="2"/>
  <c r="W316" i="2"/>
  <c r="X316" i="2"/>
  <c r="Y316" i="2"/>
  <c r="Z316" i="2"/>
  <c r="AA316" i="2"/>
  <c r="M316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I47" i="3" l="1"/>
  <c r="O101" i="2" l="1"/>
  <c r="M101" i="2" s="1"/>
  <c r="J101" i="2" s="1"/>
  <c r="O102" i="2"/>
  <c r="M102" i="2" s="1"/>
  <c r="J102" i="2" s="1"/>
  <c r="N103" i="2"/>
  <c r="O103" i="2"/>
  <c r="O104" i="2"/>
  <c r="M104" i="2" s="1"/>
  <c r="J104" i="2" s="1"/>
  <c r="M105" i="2"/>
  <c r="J105" i="2" s="1"/>
  <c r="M106" i="2"/>
  <c r="J106" i="2" s="1"/>
  <c r="M107" i="2"/>
  <c r="X107" i="2"/>
  <c r="M108" i="2"/>
  <c r="J108" i="2" s="1"/>
  <c r="M109" i="2"/>
  <c r="J109" i="2" s="1"/>
  <c r="M110" i="2"/>
  <c r="J110" i="2" s="1"/>
  <c r="M111" i="2"/>
  <c r="J111" i="2" s="1"/>
  <c r="M112" i="2"/>
  <c r="J112" i="2" s="1"/>
  <c r="M113" i="2"/>
  <c r="J113" i="2" s="1"/>
  <c r="M114" i="2"/>
  <c r="J114" i="2" s="1"/>
  <c r="O115" i="2"/>
  <c r="M115" i="2" s="1"/>
  <c r="J115" i="2" s="1"/>
  <c r="M116" i="2"/>
  <c r="J116" i="2" s="1"/>
  <c r="M117" i="2"/>
  <c r="J117" i="2" s="1"/>
  <c r="O118" i="2"/>
  <c r="M118" i="2" s="1"/>
  <c r="J118" i="2" s="1"/>
  <c r="M119" i="2"/>
  <c r="J119" i="2" s="1"/>
  <c r="M120" i="2"/>
  <c r="J120" i="2" s="1"/>
  <c r="N121" i="2"/>
  <c r="M121" i="2" s="1"/>
  <c r="J121" i="2" s="1"/>
  <c r="M122" i="2"/>
  <c r="J122" i="2" s="1"/>
  <c r="L123" i="2"/>
  <c r="M123" i="2"/>
  <c r="M124" i="2"/>
  <c r="J124" i="2" s="1"/>
  <c r="O125" i="2"/>
  <c r="M125" i="2" s="1"/>
  <c r="R125" i="2"/>
  <c r="O126" i="2"/>
  <c r="M126" i="2" s="1"/>
  <c r="R126" i="2"/>
  <c r="M127" i="2"/>
  <c r="J127" i="2" s="1"/>
  <c r="M128" i="2"/>
  <c r="J128" i="2" s="1"/>
  <c r="M129" i="2"/>
  <c r="J129" i="2" s="1"/>
  <c r="O130" i="2"/>
  <c r="M130" i="2" s="1"/>
  <c r="J130" i="2" s="1"/>
  <c r="O131" i="2"/>
  <c r="M131" i="2" s="1"/>
  <c r="J131" i="2" s="1"/>
  <c r="M132" i="2"/>
  <c r="J132" i="2" s="1"/>
  <c r="M133" i="2"/>
  <c r="J133" i="2" s="1"/>
  <c r="M134" i="2"/>
  <c r="J134" i="2" s="1"/>
  <c r="M135" i="2"/>
  <c r="J135" i="2" s="1"/>
  <c r="M136" i="2"/>
  <c r="J136" i="2" s="1"/>
  <c r="M137" i="2"/>
  <c r="J137" i="2" s="1"/>
  <c r="M138" i="2"/>
  <c r="J138" i="2" s="1"/>
  <c r="M139" i="2"/>
  <c r="J139" i="2" s="1"/>
  <c r="M140" i="2"/>
  <c r="J140" i="2" s="1"/>
  <c r="M141" i="2"/>
  <c r="J141" i="2" s="1"/>
  <c r="O142" i="2"/>
  <c r="M142" i="2" s="1"/>
  <c r="J142" i="2" s="1"/>
  <c r="M143" i="2"/>
  <c r="J143" i="2" s="1"/>
  <c r="O144" i="2"/>
  <c r="M144" i="2" s="1"/>
  <c r="R144" i="2"/>
  <c r="M145" i="2"/>
  <c r="J145" i="2" s="1"/>
  <c r="M146" i="2"/>
  <c r="J146" i="2" s="1"/>
  <c r="O147" i="2"/>
  <c r="M147" i="2" s="1"/>
  <c r="J147" i="2" s="1"/>
  <c r="O148" i="2"/>
  <c r="M148" i="2" s="1"/>
  <c r="R148" i="2"/>
  <c r="M149" i="2"/>
  <c r="J149" i="2" s="1"/>
  <c r="M150" i="2"/>
  <c r="J150" i="2" s="1"/>
  <c r="M151" i="2"/>
  <c r="J151" i="2" s="1"/>
  <c r="N152" i="2"/>
  <c r="M152" i="2" s="1"/>
  <c r="J152" i="2" s="1"/>
  <c r="M153" i="2"/>
  <c r="J153" i="2" s="1"/>
  <c r="M154" i="2"/>
  <c r="J154" i="2" s="1"/>
  <c r="M155" i="2"/>
  <c r="J155" i="2" s="1"/>
  <c r="O156" i="2"/>
  <c r="M156" i="2" s="1"/>
  <c r="J156" i="2" s="1"/>
  <c r="M157" i="2"/>
  <c r="J157" i="2" s="1"/>
  <c r="M158" i="2"/>
  <c r="J158" i="2" s="1"/>
  <c r="O159" i="2"/>
  <c r="M159" i="2" s="1"/>
  <c r="R159" i="2"/>
  <c r="O160" i="2"/>
  <c r="M160" i="2" s="1"/>
  <c r="J160" i="2" s="1"/>
  <c r="M161" i="2"/>
  <c r="J161" i="2" s="1"/>
  <c r="O162" i="2"/>
  <c r="M162" i="2" s="1"/>
  <c r="J162" i="2" s="1"/>
  <c r="M163" i="2"/>
  <c r="J163" i="2" s="1"/>
  <c r="M164" i="2"/>
  <c r="J164" i="2" s="1"/>
  <c r="O165" i="2"/>
  <c r="M165" i="2" s="1"/>
  <c r="U165" i="2"/>
  <c r="O166" i="2"/>
  <c r="M166" i="2" s="1"/>
  <c r="R166" i="2"/>
  <c r="L167" i="2"/>
  <c r="M167" i="2"/>
  <c r="M168" i="2"/>
  <c r="J168" i="2" s="1"/>
  <c r="M169" i="2"/>
  <c r="R169" i="2"/>
  <c r="AA169" i="2"/>
  <c r="N170" i="2"/>
  <c r="M170" i="2" s="1"/>
  <c r="J170" i="2" s="1"/>
  <c r="O171" i="2"/>
  <c r="M171" i="2" s="1"/>
  <c r="R171" i="2"/>
  <c r="M172" i="2"/>
  <c r="J172" i="2" s="1"/>
  <c r="M173" i="2"/>
  <c r="J173" i="2" s="1"/>
  <c r="O174" i="2"/>
  <c r="M174" i="2" s="1"/>
  <c r="J174" i="2" s="1"/>
  <c r="M175" i="2"/>
  <c r="J175" i="2" s="1"/>
  <c r="N176" i="2"/>
  <c r="M176" i="2" s="1"/>
  <c r="J176" i="2" s="1"/>
  <c r="M177" i="2"/>
  <c r="J177" i="2" s="1"/>
  <c r="M178" i="2"/>
  <c r="X178" i="2"/>
  <c r="M179" i="2"/>
  <c r="J179" i="2" s="1"/>
  <c r="M180" i="2"/>
  <c r="J180" i="2" s="1"/>
  <c r="M181" i="2"/>
  <c r="J181" i="2" s="1"/>
  <c r="M182" i="2"/>
  <c r="J182" i="2" s="1"/>
  <c r="O183" i="2"/>
  <c r="M183" i="2" s="1"/>
  <c r="R183" i="2"/>
  <c r="L184" i="2"/>
  <c r="M184" i="2"/>
  <c r="O185" i="2"/>
  <c r="M185" i="2" s="1"/>
  <c r="R185" i="2"/>
  <c r="O186" i="2"/>
  <c r="M186" i="2" s="1"/>
  <c r="J186" i="2" s="1"/>
  <c r="M187" i="2"/>
  <c r="J187" i="2" s="1"/>
  <c r="O188" i="2"/>
  <c r="M188" i="2" s="1"/>
  <c r="R188" i="2"/>
  <c r="O189" i="2"/>
  <c r="M189" i="2" s="1"/>
  <c r="R189" i="2"/>
  <c r="M190" i="2"/>
  <c r="J190" i="2" s="1"/>
  <c r="O191" i="2"/>
  <c r="M191" i="2" s="1"/>
  <c r="R191" i="2"/>
  <c r="O192" i="2"/>
  <c r="M192" i="2" s="1"/>
  <c r="J192" i="2" s="1"/>
  <c r="O193" i="2"/>
  <c r="M193" i="2" s="1"/>
  <c r="J193" i="2" s="1"/>
  <c r="O194" i="2"/>
  <c r="M194" i="2" s="1"/>
  <c r="R194" i="2"/>
  <c r="U194" i="2"/>
  <c r="O195" i="2"/>
  <c r="M195" i="2" s="1"/>
  <c r="R195" i="2"/>
  <c r="M77" i="2"/>
  <c r="J77" i="2" s="1"/>
  <c r="L196" i="2"/>
  <c r="N196" i="2"/>
  <c r="M196" i="2" s="1"/>
  <c r="M197" i="2"/>
  <c r="J197" i="2" s="1"/>
  <c r="L198" i="2"/>
  <c r="N198" i="2"/>
  <c r="M198" i="2" s="1"/>
  <c r="L199" i="2"/>
  <c r="N199" i="2"/>
  <c r="M199" i="2" s="1"/>
  <c r="L200" i="2"/>
  <c r="N200" i="2"/>
  <c r="M200" i="2" s="1"/>
  <c r="M201" i="2"/>
  <c r="J201" i="2" s="1"/>
  <c r="L202" i="2"/>
  <c r="N202" i="2"/>
  <c r="M202" i="2" s="1"/>
  <c r="M203" i="2"/>
  <c r="J203" i="2" s="1"/>
  <c r="M204" i="2"/>
  <c r="J204" i="2" s="1"/>
  <c r="M205" i="2"/>
  <c r="J205" i="2" s="1"/>
  <c r="L206" i="2"/>
  <c r="M206" i="2"/>
  <c r="M207" i="2"/>
  <c r="J207" i="2" s="1"/>
  <c r="M208" i="2"/>
  <c r="J208" i="2" s="1"/>
  <c r="M209" i="2"/>
  <c r="J209" i="2" s="1"/>
  <c r="M210" i="2"/>
  <c r="J210" i="2" s="1"/>
  <c r="O211" i="2"/>
  <c r="M211" i="2" s="1"/>
  <c r="J211" i="2" s="1"/>
  <c r="N212" i="2"/>
  <c r="M212" i="2" s="1"/>
  <c r="J212" i="2" s="1"/>
  <c r="M213" i="2"/>
  <c r="J213" i="2" s="1"/>
  <c r="O214" i="2"/>
  <c r="M214" i="2" s="1"/>
  <c r="R214" i="2"/>
  <c r="O215" i="2"/>
  <c r="M215" i="2" s="1"/>
  <c r="R215" i="2"/>
  <c r="O216" i="2"/>
  <c r="M216" i="2" s="1"/>
  <c r="J216" i="2" s="1"/>
  <c r="M217" i="2"/>
  <c r="J217" i="2" s="1"/>
  <c r="M218" i="2"/>
  <c r="J218" i="2" s="1"/>
  <c r="L219" i="2"/>
  <c r="M219" i="2"/>
  <c r="M220" i="2"/>
  <c r="J220" i="2" s="1"/>
  <c r="M221" i="2"/>
  <c r="J221" i="2" s="1"/>
  <c r="M222" i="2"/>
  <c r="J222" i="2" s="1"/>
  <c r="M223" i="2"/>
  <c r="J223" i="2" s="1"/>
  <c r="M224" i="2"/>
  <c r="J224" i="2" s="1"/>
  <c r="M225" i="2"/>
  <c r="J225" i="2" s="1"/>
  <c r="M226" i="2"/>
  <c r="J226" i="2" s="1"/>
  <c r="M227" i="2"/>
  <c r="J227" i="2" s="1"/>
  <c r="M228" i="2"/>
  <c r="J228" i="2" s="1"/>
  <c r="M229" i="2"/>
  <c r="J229" i="2" s="1"/>
  <c r="M230" i="2"/>
  <c r="J230" i="2" s="1"/>
  <c r="M231" i="2"/>
  <c r="J231" i="2" s="1"/>
  <c r="M232" i="2"/>
  <c r="J232" i="2" s="1"/>
  <c r="M233" i="2"/>
  <c r="J233" i="2" s="1"/>
  <c r="M234" i="2"/>
  <c r="J234" i="2" s="1"/>
  <c r="M235" i="2"/>
  <c r="J235" i="2" s="1"/>
  <c r="M236" i="2"/>
  <c r="J236" i="2" s="1"/>
  <c r="M237" i="2"/>
  <c r="J237" i="2" s="1"/>
  <c r="M238" i="2"/>
  <c r="J238" i="2" s="1"/>
  <c r="M239" i="2"/>
  <c r="J239" i="2" s="1"/>
  <c r="M240" i="2"/>
  <c r="J240" i="2" s="1"/>
  <c r="M241" i="2"/>
  <c r="J241" i="2" s="1"/>
  <c r="M242" i="2"/>
  <c r="R242" i="2"/>
  <c r="M243" i="2"/>
  <c r="R243" i="2"/>
  <c r="M244" i="2"/>
  <c r="R244" i="2"/>
  <c r="M245" i="2"/>
  <c r="R245" i="2"/>
  <c r="M246" i="2"/>
  <c r="R246" i="2"/>
  <c r="M247" i="2"/>
  <c r="J247" i="2" s="1"/>
  <c r="O248" i="2"/>
  <c r="M248" i="2" s="1"/>
  <c r="J248" i="2" s="1"/>
  <c r="L249" i="2"/>
  <c r="N249" i="2"/>
  <c r="O249" i="2"/>
  <c r="N250" i="2"/>
  <c r="M250" i="2" s="1"/>
  <c r="J250" i="2" s="1"/>
  <c r="L251" i="2"/>
  <c r="M251" i="2"/>
  <c r="L252" i="2"/>
  <c r="M252" i="2"/>
  <c r="M253" i="2"/>
  <c r="J253" i="2" s="1"/>
  <c r="L254" i="2"/>
  <c r="N254" i="2"/>
  <c r="M254" i="2" s="1"/>
  <c r="K255" i="2"/>
  <c r="M255" i="2"/>
  <c r="M256" i="2"/>
  <c r="J256" i="2" s="1"/>
  <c r="O257" i="2"/>
  <c r="M257" i="2" s="1"/>
  <c r="R257" i="2"/>
  <c r="O258" i="2"/>
  <c r="M258" i="2" s="1"/>
  <c r="R258" i="2"/>
  <c r="O259" i="2"/>
  <c r="Q259" i="2"/>
  <c r="O260" i="2"/>
  <c r="M260" i="2" s="1"/>
  <c r="J260" i="2" s="1"/>
  <c r="O261" i="2"/>
  <c r="M261" i="2" s="1"/>
  <c r="R261" i="2"/>
  <c r="J261" i="2" s="1"/>
  <c r="O262" i="2"/>
  <c r="M262" i="2" s="1"/>
  <c r="J262" i="2" s="1"/>
  <c r="O263" i="2"/>
  <c r="M263" i="2" s="1"/>
  <c r="J263" i="2" s="1"/>
  <c r="O264" i="2"/>
  <c r="M264" i="2" s="1"/>
  <c r="J264" i="2" s="1"/>
  <c r="O265" i="2"/>
  <c r="M265" i="2" s="1"/>
  <c r="R265" i="2"/>
  <c r="O266" i="2"/>
  <c r="M266" i="2" s="1"/>
  <c r="J266" i="2" s="1"/>
  <c r="O267" i="2"/>
  <c r="M267" i="2" s="1"/>
  <c r="R267" i="2"/>
  <c r="U267" i="2"/>
  <c r="X267" i="2"/>
  <c r="AA267" i="2"/>
  <c r="M268" i="2"/>
  <c r="R268" i="2"/>
  <c r="K269" i="2"/>
  <c r="M269" i="2"/>
  <c r="K270" i="2"/>
  <c r="M270" i="2"/>
  <c r="K271" i="2"/>
  <c r="N271" i="2"/>
  <c r="M271" i="2" s="1"/>
  <c r="L272" i="2"/>
  <c r="O272" i="2"/>
  <c r="M272" i="2" s="1"/>
  <c r="R272" i="2"/>
  <c r="X272" i="2"/>
  <c r="K273" i="2"/>
  <c r="M273" i="2"/>
  <c r="M274" i="2"/>
  <c r="J274" i="2" s="1"/>
  <c r="N275" i="2"/>
  <c r="M275" i="2" s="1"/>
  <c r="J275" i="2" s="1"/>
  <c r="N276" i="2"/>
  <c r="M276" i="2" s="1"/>
  <c r="X276" i="2"/>
  <c r="M277" i="2"/>
  <c r="J277" i="2" s="1"/>
  <c r="N278" i="2"/>
  <c r="M278" i="2" s="1"/>
  <c r="J278" i="2" s="1"/>
  <c r="N279" i="2"/>
  <c r="M279" i="2" s="1"/>
  <c r="J279" i="2" s="1"/>
  <c r="N280" i="2"/>
  <c r="M280" i="2" s="1"/>
  <c r="J280" i="2" s="1"/>
  <c r="M281" i="2"/>
  <c r="J281" i="2" s="1"/>
  <c r="N282" i="2"/>
  <c r="M282" i="2" s="1"/>
  <c r="J282" i="2" s="1"/>
  <c r="N283" i="2"/>
  <c r="M283" i="2" s="1"/>
  <c r="J283" i="2" s="1"/>
  <c r="M284" i="2"/>
  <c r="J284" i="2" s="1"/>
  <c r="O285" i="2"/>
  <c r="M285" i="2" s="1"/>
  <c r="R285" i="2"/>
  <c r="N286" i="2"/>
  <c r="M286" i="2" s="1"/>
  <c r="J286" i="2" s="1"/>
  <c r="N287" i="2"/>
  <c r="M287" i="2" s="1"/>
  <c r="J287" i="2" s="1"/>
  <c r="O288" i="2"/>
  <c r="M288" i="2" s="1"/>
  <c r="J288" i="2" s="1"/>
  <c r="K289" i="2"/>
  <c r="O289" i="2"/>
  <c r="M289" i="2" s="1"/>
  <c r="R289" i="2"/>
  <c r="U289" i="2"/>
  <c r="K290" i="2"/>
  <c r="M290" i="2"/>
  <c r="M291" i="2"/>
  <c r="J291" i="2" s="1"/>
  <c r="M292" i="2"/>
  <c r="J292" i="2" s="1"/>
  <c r="M293" i="2"/>
  <c r="J293" i="2" s="1"/>
  <c r="N294" i="2"/>
  <c r="M294" i="2" s="1"/>
  <c r="J294" i="2" s="1"/>
  <c r="N295" i="2"/>
  <c r="M295" i="2" s="1"/>
  <c r="J295" i="2" s="1"/>
  <c r="M296" i="2"/>
  <c r="J296" i="2" s="1"/>
  <c r="N297" i="2"/>
  <c r="M297" i="2" s="1"/>
  <c r="J297" i="2" s="1"/>
  <c r="M298" i="2"/>
  <c r="J298" i="2" s="1"/>
  <c r="O299" i="2"/>
  <c r="M299" i="2" s="1"/>
  <c r="J299" i="2" s="1"/>
  <c r="M300" i="2"/>
  <c r="J300" i="2" s="1"/>
  <c r="M301" i="2"/>
  <c r="J301" i="2" s="1"/>
  <c r="M302" i="2"/>
  <c r="R302" i="2"/>
  <c r="M303" i="2"/>
  <c r="J303" i="2" s="1"/>
  <c r="O304" i="2"/>
  <c r="M304" i="2" s="1"/>
  <c r="J304" i="2" s="1"/>
  <c r="O305" i="2"/>
  <c r="M305" i="2" s="1"/>
  <c r="J305" i="2" s="1"/>
  <c r="R59" i="2"/>
  <c r="G15" i="3" s="1"/>
  <c r="S59" i="2"/>
  <c r="H15" i="3" s="1"/>
  <c r="T59" i="2"/>
  <c r="I15" i="3" s="1"/>
  <c r="U59" i="2"/>
  <c r="J15" i="3" s="1"/>
  <c r="V59" i="2"/>
  <c r="K15" i="3" s="1"/>
  <c r="W59" i="2"/>
  <c r="L15" i="3" s="1"/>
  <c r="X59" i="2"/>
  <c r="M15" i="3" s="1"/>
  <c r="Y59" i="2"/>
  <c r="N15" i="3" s="1"/>
  <c r="Z59" i="2"/>
  <c r="O15" i="3" s="1"/>
  <c r="AA59" i="2"/>
  <c r="P15" i="3" s="1"/>
  <c r="N59" i="2"/>
  <c r="C15" i="3" s="1"/>
  <c r="O59" i="2"/>
  <c r="D15" i="3" s="1"/>
  <c r="P59" i="2"/>
  <c r="E15" i="3" s="1"/>
  <c r="Q59" i="2"/>
  <c r="F15" i="3" s="1"/>
  <c r="N49" i="2"/>
  <c r="C12" i="3" s="1"/>
  <c r="O49" i="2"/>
  <c r="D12" i="3" s="1"/>
  <c r="P49" i="2"/>
  <c r="E12" i="3" s="1"/>
  <c r="Q49" i="2"/>
  <c r="F12" i="3" s="1"/>
  <c r="R49" i="2"/>
  <c r="G12" i="3" s="1"/>
  <c r="S49" i="2"/>
  <c r="H12" i="3" s="1"/>
  <c r="T49" i="2"/>
  <c r="I12" i="3" s="1"/>
  <c r="U49" i="2"/>
  <c r="J12" i="3" s="1"/>
  <c r="V49" i="2"/>
  <c r="K12" i="3" s="1"/>
  <c r="W49" i="2"/>
  <c r="L12" i="3" s="1"/>
  <c r="X49" i="2"/>
  <c r="M12" i="3" s="1"/>
  <c r="Y49" i="2"/>
  <c r="N12" i="3" s="1"/>
  <c r="Z49" i="2"/>
  <c r="O12" i="3" s="1"/>
  <c r="AA49" i="2"/>
  <c r="P12" i="3" s="1"/>
  <c r="M48" i="2"/>
  <c r="J48" i="2" s="1"/>
  <c r="N46" i="2"/>
  <c r="P46" i="2"/>
  <c r="Q46" i="2"/>
  <c r="R46" i="2"/>
  <c r="S46" i="2"/>
  <c r="T46" i="2"/>
  <c r="U46" i="2"/>
  <c r="V46" i="2"/>
  <c r="W46" i="2"/>
  <c r="X46" i="2"/>
  <c r="Y46" i="2"/>
  <c r="Z46" i="2"/>
  <c r="AA46" i="2"/>
  <c r="O45" i="2"/>
  <c r="M45" i="2" s="1"/>
  <c r="N52" i="2"/>
  <c r="P52" i="2"/>
  <c r="Q52" i="2"/>
  <c r="S52" i="2"/>
  <c r="T52" i="2"/>
  <c r="U52" i="2"/>
  <c r="V52" i="2"/>
  <c r="W52" i="2"/>
  <c r="X52" i="2"/>
  <c r="Y52" i="2"/>
  <c r="Z52" i="2"/>
  <c r="AA52" i="2"/>
  <c r="R51" i="2"/>
  <c r="R52" i="2" s="1"/>
  <c r="O51" i="2"/>
  <c r="O52" i="2" s="1"/>
  <c r="N43" i="2"/>
  <c r="P43" i="2"/>
  <c r="Q43" i="2"/>
  <c r="R43" i="2"/>
  <c r="S43" i="2"/>
  <c r="T43" i="2"/>
  <c r="U43" i="2"/>
  <c r="V43" i="2"/>
  <c r="W43" i="2"/>
  <c r="X43" i="2"/>
  <c r="Y43" i="2"/>
  <c r="Z43" i="2"/>
  <c r="AA43" i="2"/>
  <c r="M41" i="2"/>
  <c r="J41" i="2" s="1"/>
  <c r="O40" i="2"/>
  <c r="N38" i="2"/>
  <c r="C9" i="3" s="1"/>
  <c r="P38" i="2"/>
  <c r="E9" i="3" s="1"/>
  <c r="R38" i="2"/>
  <c r="G9" i="3" s="1"/>
  <c r="S38" i="2"/>
  <c r="H9" i="3" s="1"/>
  <c r="T38" i="2"/>
  <c r="I9" i="3" s="1"/>
  <c r="U38" i="2"/>
  <c r="J9" i="3" s="1"/>
  <c r="V38" i="2"/>
  <c r="K9" i="3" s="1"/>
  <c r="W38" i="2"/>
  <c r="L9" i="3" s="1"/>
  <c r="X38" i="2"/>
  <c r="M9" i="3" s="1"/>
  <c r="Y38" i="2"/>
  <c r="N9" i="3" s="1"/>
  <c r="Z38" i="2"/>
  <c r="O9" i="3" s="1"/>
  <c r="AA38" i="2"/>
  <c r="P9" i="3" s="1"/>
  <c r="Q37" i="2"/>
  <c r="O37" i="2"/>
  <c r="O38" i="2" s="1"/>
  <c r="D9" i="3" s="1"/>
  <c r="O42" i="2"/>
  <c r="M42" i="2" s="1"/>
  <c r="J42" i="2" s="1"/>
  <c r="N312" i="2"/>
  <c r="P312" i="2"/>
  <c r="Q312" i="2"/>
  <c r="R312" i="2"/>
  <c r="S312" i="2"/>
  <c r="T312" i="2"/>
  <c r="U312" i="2"/>
  <c r="V312" i="2"/>
  <c r="W312" i="2"/>
  <c r="X312" i="2"/>
  <c r="Y312" i="2"/>
  <c r="Z312" i="2"/>
  <c r="AA312" i="2"/>
  <c r="O311" i="2"/>
  <c r="O312" i="2" s="1"/>
  <c r="P82" i="2"/>
  <c r="Q82" i="2"/>
  <c r="R82" i="2"/>
  <c r="S82" i="2"/>
  <c r="T82" i="2"/>
  <c r="U82" i="2"/>
  <c r="V82" i="2"/>
  <c r="W82" i="2"/>
  <c r="X82" i="2"/>
  <c r="Y82" i="2"/>
  <c r="Z82" i="2"/>
  <c r="AA82" i="2"/>
  <c r="N86" i="2"/>
  <c r="O86" i="2"/>
  <c r="P86" i="2"/>
  <c r="Q86" i="2"/>
  <c r="R86" i="2"/>
  <c r="S86" i="2"/>
  <c r="T86" i="2"/>
  <c r="U86" i="2"/>
  <c r="V86" i="2"/>
  <c r="W86" i="2"/>
  <c r="X86" i="2"/>
  <c r="Y86" i="2"/>
  <c r="Z86" i="2"/>
  <c r="AA86" i="2"/>
  <c r="M85" i="2"/>
  <c r="J85" i="2" s="1"/>
  <c r="M84" i="2"/>
  <c r="J84" i="2" s="1"/>
  <c r="M91" i="2"/>
  <c r="J91" i="2" s="1"/>
  <c r="O90" i="2"/>
  <c r="M90" i="2" s="1"/>
  <c r="J90" i="2" s="1"/>
  <c r="M92" i="2"/>
  <c r="J92" i="2" s="1"/>
  <c r="M97" i="2"/>
  <c r="J97" i="2" s="1"/>
  <c r="O89" i="2"/>
  <c r="M89" i="2" s="1"/>
  <c r="J89" i="2" s="1"/>
  <c r="O315" i="2"/>
  <c r="Q315" i="2"/>
  <c r="M34" i="2"/>
  <c r="M55" i="2"/>
  <c r="J55" i="2" s="1"/>
  <c r="M54" i="2"/>
  <c r="J54" i="2" s="1"/>
  <c r="M98" i="2"/>
  <c r="J98" i="2" s="1"/>
  <c r="M96" i="2"/>
  <c r="J96" i="2" s="1"/>
  <c r="R88" i="2"/>
  <c r="O88" i="2"/>
  <c r="M88" i="2" s="1"/>
  <c r="O81" i="2"/>
  <c r="O82" i="2" s="1"/>
  <c r="N81" i="2"/>
  <c r="N82" i="2" s="1"/>
  <c r="J34" i="2" l="1"/>
  <c r="M35" i="2"/>
  <c r="M103" i="2"/>
  <c r="J103" i="2" s="1"/>
  <c r="M259" i="2"/>
  <c r="J259" i="2" s="1"/>
  <c r="J258" i="2"/>
  <c r="J165" i="2"/>
  <c r="J273" i="2"/>
  <c r="J265" i="2"/>
  <c r="J214" i="2"/>
  <c r="J188" i="2"/>
  <c r="J276" i="2"/>
  <c r="J270" i="2"/>
  <c r="J219" i="2"/>
  <c r="J257" i="2"/>
  <c r="J243" i="2"/>
  <c r="J125" i="2"/>
  <c r="J166" i="2"/>
  <c r="J302" i="2"/>
  <c r="J254" i="2"/>
  <c r="J251" i="2"/>
  <c r="J244" i="2"/>
  <c r="J206" i="2"/>
  <c r="J246" i="2"/>
  <c r="J215" i="2"/>
  <c r="J199" i="2"/>
  <c r="J195" i="2"/>
  <c r="J167" i="2"/>
  <c r="J144" i="2"/>
  <c r="J255" i="2"/>
  <c r="J191" i="2"/>
  <c r="J189" i="2"/>
  <c r="J185" i="2"/>
  <c r="J148" i="2"/>
  <c r="J126" i="2"/>
  <c r="J268" i="2"/>
  <c r="M249" i="2"/>
  <c r="J249" i="2" s="1"/>
  <c r="J184" i="2"/>
  <c r="J123" i="2"/>
  <c r="J107" i="2"/>
  <c r="J194" i="2"/>
  <c r="J171" i="2"/>
  <c r="J159" i="2"/>
  <c r="J290" i="2"/>
  <c r="J285" i="2"/>
  <c r="J269" i="2"/>
  <c r="J252" i="2"/>
  <c r="J245" i="2"/>
  <c r="J178" i="2"/>
  <c r="J242" i="2"/>
  <c r="J183" i="2"/>
  <c r="J169" i="2"/>
  <c r="J271" i="2"/>
  <c r="J196" i="2"/>
  <c r="J200" i="2"/>
  <c r="J198" i="2"/>
  <c r="J289" i="2"/>
  <c r="J272" i="2"/>
  <c r="J267" i="2"/>
  <c r="J202" i="2"/>
  <c r="J88" i="2"/>
  <c r="O43" i="2"/>
  <c r="M311" i="2"/>
  <c r="J311" i="2" s="1"/>
  <c r="M37" i="2"/>
  <c r="J37" i="2" s="1"/>
  <c r="O46" i="2"/>
  <c r="M40" i="2"/>
  <c r="J40" i="2" s="1"/>
  <c r="M51" i="2"/>
  <c r="J51" i="2" s="1"/>
  <c r="M49" i="2"/>
  <c r="B12" i="3" s="1"/>
  <c r="J45" i="2"/>
  <c r="M46" i="2"/>
  <c r="Q38" i="2"/>
  <c r="F9" i="3" s="1"/>
  <c r="M81" i="2"/>
  <c r="M315" i="2"/>
  <c r="J315" i="2" s="1"/>
  <c r="M86" i="2"/>
  <c r="R78" i="2"/>
  <c r="M78" i="2"/>
  <c r="M76" i="2"/>
  <c r="J76" i="2" s="1"/>
  <c r="O75" i="2"/>
  <c r="M75" i="2" s="1"/>
  <c r="J75" i="2" s="1"/>
  <c r="Q74" i="2"/>
  <c r="O74" i="2"/>
  <c r="O73" i="2"/>
  <c r="R73" i="2" s="1"/>
  <c r="M72" i="2"/>
  <c r="J72" i="2" s="1"/>
  <c r="M71" i="2"/>
  <c r="J71" i="2" s="1"/>
  <c r="O70" i="2"/>
  <c r="M70" i="2" s="1"/>
  <c r="J70" i="2" s="1"/>
  <c r="M67" i="2"/>
  <c r="J67" i="2" s="1"/>
  <c r="M66" i="2"/>
  <c r="J66" i="2" s="1"/>
  <c r="O95" i="2"/>
  <c r="M95" i="2" s="1"/>
  <c r="J95" i="2" s="1"/>
  <c r="O65" i="2"/>
  <c r="N65" i="2"/>
  <c r="O64" i="2"/>
  <c r="M64" i="2" s="1"/>
  <c r="J64" i="2" s="1"/>
  <c r="R63" i="2"/>
  <c r="O63" i="2"/>
  <c r="M63" i="2" s="1"/>
  <c r="M62" i="2"/>
  <c r="J62" i="2" s="1"/>
  <c r="M61" i="2"/>
  <c r="J61" i="2" s="1"/>
  <c r="M58" i="2"/>
  <c r="M31" i="2"/>
  <c r="J31" i="2" s="1"/>
  <c r="O30" i="2"/>
  <c r="M30" i="2" s="1"/>
  <c r="J30" i="2" s="1"/>
  <c r="O29" i="2"/>
  <c r="M29" i="2" s="1"/>
  <c r="J29" i="2" s="1"/>
  <c r="Q28" i="2"/>
  <c r="O28" i="2"/>
  <c r="AA27" i="2"/>
  <c r="X27" i="2"/>
  <c r="M27" i="2"/>
  <c r="Q26" i="2"/>
  <c r="O26" i="2"/>
  <c r="O25" i="2"/>
  <c r="M25" i="2" s="1"/>
  <c r="J25" i="2" s="1"/>
  <c r="O24" i="2"/>
  <c r="M24" i="2" s="1"/>
  <c r="J24" i="2" s="1"/>
  <c r="O23" i="2"/>
  <c r="M23" i="2" s="1"/>
  <c r="J23" i="2" s="1"/>
  <c r="M22" i="2"/>
  <c r="J22" i="2" s="1"/>
  <c r="M314" i="2"/>
  <c r="J314" i="2" s="1"/>
  <c r="O21" i="2"/>
  <c r="M21" i="2" s="1"/>
  <c r="J21" i="2" s="1"/>
  <c r="O20" i="2"/>
  <c r="M20" i="2" s="1"/>
  <c r="J20" i="2" s="1"/>
  <c r="M19" i="2"/>
  <c r="J19" i="2" s="1"/>
  <c r="M18" i="2"/>
  <c r="J18" i="2" s="1"/>
  <c r="M13" i="2"/>
  <c r="J13" i="2" s="1"/>
  <c r="O17" i="2"/>
  <c r="M17" i="2" s="1"/>
  <c r="J17" i="2" s="1"/>
  <c r="M16" i="2"/>
  <c r="J16" i="2" s="1"/>
  <c r="M15" i="2"/>
  <c r="J15" i="2" s="1"/>
  <c r="M14" i="2"/>
  <c r="J14" i="2" s="1"/>
  <c r="P12" i="2"/>
  <c r="M12" i="2" s="1"/>
  <c r="J12" i="2" s="1"/>
  <c r="O11" i="2"/>
  <c r="M11" i="2" s="1"/>
  <c r="J11" i="2" s="1"/>
  <c r="M10" i="2"/>
  <c r="J10" i="2" s="1"/>
  <c r="M9" i="2"/>
  <c r="J9" i="2" s="1"/>
  <c r="Y75" i="9"/>
  <c r="X75" i="9"/>
  <c r="V75" i="9"/>
  <c r="U75" i="9"/>
  <c r="S75" i="9"/>
  <c r="R75" i="9"/>
  <c r="P75" i="9"/>
  <c r="O75" i="9"/>
  <c r="N75" i="9"/>
  <c r="K75" i="9"/>
  <c r="J75" i="9"/>
  <c r="Q74" i="9"/>
  <c r="L74" i="9"/>
  <c r="I74" i="9" s="1"/>
  <c r="L73" i="9"/>
  <c r="I73" i="9" s="1"/>
  <c r="Q72" i="9"/>
  <c r="L72" i="9"/>
  <c r="I72" i="9"/>
  <c r="T71" i="9"/>
  <c r="L71" i="9"/>
  <c r="I71" i="9" s="1"/>
  <c r="L70" i="9"/>
  <c r="I70" i="9" s="1"/>
  <c r="L69" i="9"/>
  <c r="I69" i="9" s="1"/>
  <c r="L68" i="9"/>
  <c r="I68" i="9" s="1"/>
  <c r="L67" i="9"/>
  <c r="I67" i="9" s="1"/>
  <c r="L66" i="9"/>
  <c r="I66" i="9" s="1"/>
  <c r="L65" i="9"/>
  <c r="I65" i="9" s="1"/>
  <c r="L64" i="9"/>
  <c r="I64" i="9" s="1"/>
  <c r="L63" i="9"/>
  <c r="I63" i="9" s="1"/>
  <c r="L62" i="9"/>
  <c r="I62" i="9" s="1"/>
  <c r="L61" i="9"/>
  <c r="I61" i="9" s="1"/>
  <c r="L60" i="9"/>
  <c r="I60" i="9" s="1"/>
  <c r="L59" i="9"/>
  <c r="I59" i="9" s="1"/>
  <c r="M58" i="9"/>
  <c r="L58" i="9" s="1"/>
  <c r="I58" i="9" s="1"/>
  <c r="M57" i="9"/>
  <c r="L57" i="9"/>
  <c r="I57" i="9" s="1"/>
  <c r="Q56" i="9"/>
  <c r="L56" i="9"/>
  <c r="I56" i="9"/>
  <c r="L55" i="9"/>
  <c r="I55" i="9"/>
  <c r="L54" i="9"/>
  <c r="I54" i="9"/>
  <c r="L53" i="9"/>
  <c r="I53" i="9"/>
  <c r="L52" i="9"/>
  <c r="I52" i="9"/>
  <c r="L51" i="9"/>
  <c r="I51" i="9"/>
  <c r="L50" i="9"/>
  <c r="I50" i="9"/>
  <c r="Z49" i="9"/>
  <c r="Z75" i="9" s="1"/>
  <c r="W49" i="9"/>
  <c r="W75" i="9" s="1"/>
  <c r="T49" i="9"/>
  <c r="T75" i="9" s="1"/>
  <c r="Q49" i="9"/>
  <c r="I49" i="9" s="1"/>
  <c r="L49" i="9"/>
  <c r="L48" i="9"/>
  <c r="I48" i="9"/>
  <c r="Q47" i="9"/>
  <c r="L47" i="9"/>
  <c r="I47" i="9" s="1"/>
  <c r="L46" i="9"/>
  <c r="I46" i="9" s="1"/>
  <c r="L45" i="9"/>
  <c r="I45" i="9" s="1"/>
  <c r="L44" i="9"/>
  <c r="I44" i="9" s="1"/>
  <c r="L43" i="9"/>
  <c r="I43" i="9" s="1"/>
  <c r="L42" i="9"/>
  <c r="I42" i="9" s="1"/>
  <c r="Q41" i="9"/>
  <c r="L41" i="9"/>
  <c r="I41" i="9"/>
  <c r="L40" i="9"/>
  <c r="I40" i="9"/>
  <c r="L39" i="9"/>
  <c r="I39" i="9"/>
  <c r="L38" i="9"/>
  <c r="I38" i="9"/>
  <c r="L37" i="9"/>
  <c r="I37" i="9"/>
  <c r="L36" i="9"/>
  <c r="I36" i="9"/>
  <c r="L35" i="9"/>
  <c r="I35" i="9"/>
  <c r="L34" i="9"/>
  <c r="I34" i="9"/>
  <c r="L33" i="9"/>
  <c r="I33" i="9"/>
  <c r="Q32" i="9"/>
  <c r="M32" i="9"/>
  <c r="L32" i="9" s="1"/>
  <c r="I32" i="9" s="1"/>
  <c r="Q31" i="9"/>
  <c r="L31" i="9"/>
  <c r="I31" i="9" s="1"/>
  <c r="L30" i="9"/>
  <c r="I30" i="9" s="1"/>
  <c r="Q29" i="9"/>
  <c r="L29" i="9"/>
  <c r="I29" i="9"/>
  <c r="Q28" i="9"/>
  <c r="L28" i="9"/>
  <c r="I28" i="9" s="1"/>
  <c r="M27" i="9"/>
  <c r="L27" i="9" s="1"/>
  <c r="I27" i="9" s="1"/>
  <c r="L26" i="9"/>
  <c r="I26" i="9"/>
  <c r="L25" i="9"/>
  <c r="I25" i="9"/>
  <c r="Q24" i="9"/>
  <c r="L24" i="9"/>
  <c r="I24" i="9" s="1"/>
  <c r="L23" i="9"/>
  <c r="I23" i="9" s="1"/>
  <c r="L22" i="9"/>
  <c r="I22" i="9" s="1"/>
  <c r="Q21" i="9"/>
  <c r="Q75" i="9" s="1"/>
  <c r="L21" i="9"/>
  <c r="I21" i="9"/>
  <c r="Q20" i="9"/>
  <c r="L20" i="9"/>
  <c r="I20" i="9" s="1"/>
  <c r="M19" i="9"/>
  <c r="L19" i="9" s="1"/>
  <c r="I19" i="9" s="1"/>
  <c r="L18" i="9"/>
  <c r="I18" i="9"/>
  <c r="L17" i="9"/>
  <c r="I17" i="9"/>
  <c r="L16" i="9"/>
  <c r="I16" i="9"/>
  <c r="L15" i="9"/>
  <c r="I15" i="9"/>
  <c r="Q14" i="9"/>
  <c r="L14" i="9"/>
  <c r="I14" i="9" s="1"/>
  <c r="L13" i="9"/>
  <c r="I13" i="9" s="1"/>
  <c r="L12" i="9"/>
  <c r="I12" i="9" s="1"/>
  <c r="M11" i="9"/>
  <c r="L11" i="9" s="1"/>
  <c r="Y37" i="8"/>
  <c r="X37" i="8"/>
  <c r="W37" i="8"/>
  <c r="V37" i="8"/>
  <c r="U37" i="8"/>
  <c r="S37" i="8"/>
  <c r="R37" i="8"/>
  <c r="Q37" i="8"/>
  <c r="P37" i="8"/>
  <c r="O37" i="8"/>
  <c r="N37" i="8"/>
  <c r="K37" i="8"/>
  <c r="J37" i="8"/>
  <c r="L36" i="8"/>
  <c r="I36" i="8"/>
  <c r="L35" i="8"/>
  <c r="I35" i="8"/>
  <c r="M34" i="8"/>
  <c r="L34" i="8"/>
  <c r="I34" i="8" s="1"/>
  <c r="L33" i="8"/>
  <c r="I33" i="8" s="1"/>
  <c r="L32" i="8"/>
  <c r="I32" i="8" s="1"/>
  <c r="L31" i="8"/>
  <c r="I31" i="8" s="1"/>
  <c r="L30" i="8"/>
  <c r="I30" i="8" s="1"/>
  <c r="L29" i="8"/>
  <c r="I29" i="8" s="1"/>
  <c r="M28" i="8"/>
  <c r="L28" i="8" s="1"/>
  <c r="I28" i="8" s="1"/>
  <c r="L27" i="8"/>
  <c r="I27" i="8"/>
  <c r="L26" i="8"/>
  <c r="I26" i="8"/>
  <c r="L25" i="8"/>
  <c r="I25" i="8"/>
  <c r="L24" i="8"/>
  <c r="I24" i="8"/>
  <c r="L23" i="8"/>
  <c r="I23" i="8"/>
  <c r="L22" i="8"/>
  <c r="I22" i="8"/>
  <c r="L21" i="8"/>
  <c r="I21" i="8"/>
  <c r="L20" i="8"/>
  <c r="I20" i="8"/>
  <c r="L19" i="8"/>
  <c r="I19" i="8"/>
  <c r="L18" i="8"/>
  <c r="I18" i="8"/>
  <c r="L17" i="8"/>
  <c r="I17" i="8"/>
  <c r="L16" i="8"/>
  <c r="I16" i="8"/>
  <c r="L15" i="8"/>
  <c r="I15" i="8"/>
  <c r="L14" i="8"/>
  <c r="I14" i="8"/>
  <c r="L13" i="8"/>
  <c r="I13" i="8"/>
  <c r="M12" i="8"/>
  <c r="L12" i="8"/>
  <c r="I12" i="8" s="1"/>
  <c r="L11" i="8"/>
  <c r="I11" i="8" s="1"/>
  <c r="Z10" i="8"/>
  <c r="Z37" i="8" s="1"/>
  <c r="W10" i="8"/>
  <c r="T10" i="8"/>
  <c r="T37" i="8" s="1"/>
  <c r="L10" i="8"/>
  <c r="L37" i="8" s="1"/>
  <c r="I10" i="8"/>
  <c r="M38" i="2" l="1"/>
  <c r="M43" i="2"/>
  <c r="M312" i="2"/>
  <c r="M65" i="2"/>
  <c r="J65" i="2" s="1"/>
  <c r="M28" i="2"/>
  <c r="J28" i="2" s="1"/>
  <c r="M52" i="2"/>
  <c r="J63" i="2"/>
  <c r="M73" i="2"/>
  <c r="J73" i="2" s="1"/>
  <c r="J58" i="2"/>
  <c r="M59" i="2"/>
  <c r="B15" i="3" s="1"/>
  <c r="M74" i="2"/>
  <c r="J74" i="2" s="1"/>
  <c r="J78" i="2"/>
  <c r="M26" i="2"/>
  <c r="J26" i="2" s="1"/>
  <c r="J81" i="2"/>
  <c r="M82" i="2"/>
  <c r="J27" i="2"/>
  <c r="I11" i="9"/>
  <c r="I75" i="9" s="1"/>
  <c r="L75" i="9"/>
  <c r="I37" i="8"/>
  <c r="M37" i="8"/>
  <c r="M75" i="9"/>
  <c r="P93" i="2" l="1"/>
  <c r="Q93" i="2"/>
  <c r="R93" i="2"/>
  <c r="S93" i="2"/>
  <c r="T93" i="2"/>
  <c r="U93" i="2"/>
  <c r="V93" i="2"/>
  <c r="W93" i="2"/>
  <c r="X93" i="2"/>
  <c r="Y93" i="2"/>
  <c r="Z93" i="2"/>
  <c r="AA93" i="2"/>
  <c r="N93" i="2"/>
  <c r="O93" i="2"/>
  <c r="P18" i="3" l="1"/>
  <c r="O18" i="3"/>
  <c r="N18" i="3"/>
  <c r="M18" i="3"/>
  <c r="L18" i="3"/>
  <c r="K18" i="3"/>
  <c r="J18" i="3"/>
  <c r="I18" i="3"/>
  <c r="H18" i="3"/>
  <c r="E18" i="3"/>
  <c r="D18" i="3"/>
  <c r="C18" i="3"/>
  <c r="G18" i="3"/>
  <c r="F18" i="3"/>
  <c r="B18" i="3" l="1"/>
  <c r="N99" i="2" l="1"/>
  <c r="O99" i="2"/>
  <c r="P99" i="2"/>
  <c r="Q99" i="2"/>
  <c r="R99" i="2"/>
  <c r="S99" i="2"/>
  <c r="T99" i="2"/>
  <c r="U99" i="2"/>
  <c r="V99" i="2"/>
  <c r="W99" i="2"/>
  <c r="X99" i="2"/>
  <c r="Y99" i="2"/>
  <c r="Z99" i="2"/>
  <c r="AA99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N68" i="2"/>
  <c r="P68" i="2"/>
  <c r="S68" i="2"/>
  <c r="T68" i="2"/>
  <c r="U68" i="2"/>
  <c r="V68" i="2"/>
  <c r="W68" i="2"/>
  <c r="X68" i="2"/>
  <c r="Y68" i="2"/>
  <c r="Z68" i="2"/>
  <c r="AA68" i="2"/>
  <c r="P306" i="2"/>
  <c r="S306" i="2"/>
  <c r="T306" i="2"/>
  <c r="T309" i="2" s="1"/>
  <c r="U306" i="2"/>
  <c r="U309" i="2" s="1"/>
  <c r="V306" i="2"/>
  <c r="W306" i="2"/>
  <c r="X306" i="2"/>
  <c r="X309" i="2" s="1"/>
  <c r="Y306" i="2"/>
  <c r="Y309" i="2" s="1"/>
  <c r="Z306" i="2"/>
  <c r="AA306" i="2"/>
  <c r="N79" i="2"/>
  <c r="O79" i="2"/>
  <c r="P79" i="2"/>
  <c r="Q79" i="2"/>
  <c r="S79" i="2"/>
  <c r="T79" i="2"/>
  <c r="U79" i="2"/>
  <c r="V79" i="2"/>
  <c r="W79" i="2"/>
  <c r="X79" i="2"/>
  <c r="Y79" i="2"/>
  <c r="Z79" i="2"/>
  <c r="AA79" i="2"/>
  <c r="R79" i="2"/>
  <c r="R68" i="2"/>
  <c r="Q68" i="2"/>
  <c r="O68" i="2"/>
  <c r="N32" i="2"/>
  <c r="P32" i="2"/>
  <c r="Q32" i="2"/>
  <c r="S32" i="2"/>
  <c r="T32" i="2"/>
  <c r="U32" i="2"/>
  <c r="V32" i="2"/>
  <c r="W32" i="2"/>
  <c r="X32" i="2"/>
  <c r="Y32" i="2"/>
  <c r="Z32" i="2"/>
  <c r="AA32" i="2"/>
  <c r="R32" i="2"/>
  <c r="M93" i="2" l="1"/>
  <c r="O306" i="2"/>
  <c r="O309" i="2" s="1"/>
  <c r="Q306" i="2"/>
  <c r="N306" i="2"/>
  <c r="R306" i="2"/>
  <c r="M306" i="2"/>
  <c r="M32" i="2"/>
  <c r="O32" i="2"/>
  <c r="N309" i="2" l="1"/>
  <c r="M68" i="2"/>
  <c r="AA309" i="2"/>
  <c r="Z309" i="2"/>
  <c r="S309" i="2"/>
  <c r="R309" i="2"/>
  <c r="P309" i="2"/>
  <c r="W309" i="2"/>
  <c r="V309" i="2"/>
  <c r="Q309" i="2"/>
  <c r="M309" i="2" l="1"/>
  <c r="C20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P19" i="3" l="1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 l="1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B13" i="3" l="1"/>
  <c r="C22" i="3" l="1"/>
  <c r="C16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B22" i="3" l="1"/>
  <c r="C21" i="3" l="1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C24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B23" i="3"/>
  <c r="C17" i="3"/>
  <c r="E17" i="3"/>
  <c r="F17" i="3"/>
  <c r="H17" i="3"/>
  <c r="I17" i="3"/>
  <c r="J17" i="3"/>
  <c r="K17" i="3"/>
  <c r="L17" i="3"/>
  <c r="M17" i="3"/>
  <c r="N17" i="3"/>
  <c r="O17" i="3"/>
  <c r="P17" i="3"/>
  <c r="G17" i="3"/>
  <c r="C14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B11" i="3" l="1"/>
  <c r="O25" i="3"/>
  <c r="K25" i="3"/>
  <c r="G25" i="3"/>
  <c r="C25" i="3"/>
  <c r="P25" i="3"/>
  <c r="L25" i="3"/>
  <c r="H25" i="3"/>
  <c r="N25" i="3"/>
  <c r="J25" i="3"/>
  <c r="F25" i="3"/>
  <c r="M25" i="3"/>
  <c r="I25" i="3"/>
  <c r="E25" i="3"/>
  <c r="B20" i="3"/>
  <c r="D17" i="3"/>
  <c r="D25" i="3" s="1"/>
  <c r="I49" i="3" s="1"/>
  <c r="B16" i="3"/>
  <c r="M99" i="2"/>
  <c r="B21" i="3" s="1"/>
  <c r="M79" i="2"/>
  <c r="B17" i="3" s="1"/>
  <c r="M56" i="2"/>
  <c r="B10" i="3"/>
  <c r="B7" i="3"/>
  <c r="B14" i="3" l="1"/>
  <c r="B24" i="3"/>
  <c r="B25" i="3" l="1"/>
</calcChain>
</file>

<file path=xl/comments1.xml><?xml version="1.0" encoding="utf-8"?>
<comments xmlns="http://schemas.openxmlformats.org/spreadsheetml/2006/main">
  <authors>
    <author>Kanclíř Dalibor</author>
  </authors>
  <commentList>
    <comment ref="E159" authorId="0">
      <text>
        <r>
          <rPr>
            <b/>
            <sz val="9"/>
            <color indexed="81"/>
            <rFont val="Tahoma"/>
            <family val="2"/>
            <charset val="238"/>
          </rPr>
          <t>Kanclíř Dalibor:</t>
        </r>
        <r>
          <rPr>
            <sz val="9"/>
            <color indexed="81"/>
            <rFont val="Tahoma"/>
            <family val="2"/>
            <charset val="238"/>
          </rPr>
          <t xml:space="preserve">
Fa AT38 DÚR 726+ IČ 61 = 787 tisKč ?!</t>
        </r>
      </text>
    </comment>
    <comment ref="L159" authorId="0">
      <text>
        <r>
          <rPr>
            <b/>
            <sz val="9"/>
            <color indexed="81"/>
            <rFont val="Tahoma"/>
            <family val="2"/>
            <charset val="238"/>
          </rPr>
          <t>Kanclíř Dalibor:</t>
        </r>
        <r>
          <rPr>
            <sz val="9"/>
            <color indexed="81"/>
            <rFont val="Tahoma"/>
            <family val="2"/>
            <charset val="238"/>
          </rPr>
          <t xml:space="preserve">
celé DÚR-převod?</t>
        </r>
      </text>
    </comment>
  </commentList>
</comments>
</file>

<file path=xl/sharedStrings.xml><?xml version="1.0" encoding="utf-8"?>
<sst xmlns="http://schemas.openxmlformats.org/spreadsheetml/2006/main" count="915" uniqueCount="519">
  <si>
    <t>LEGENDA:</t>
  </si>
  <si>
    <t>akce nasmlouvané se zhotovitelem stavby</t>
  </si>
  <si>
    <t>vázano jinou smlouvou, usnesením RM, ZM apod.</t>
  </si>
  <si>
    <t>finanční údaje v tis. Kč</t>
  </si>
  <si>
    <t>Název stavby</t>
  </si>
  <si>
    <t>Lokalita stavby</t>
  </si>
  <si>
    <t>Investor</t>
  </si>
  <si>
    <t>Rok</t>
  </si>
  <si>
    <t>Celkové rozpočtové náklady stavby</t>
  </si>
  <si>
    <t>Skutečné</t>
  </si>
  <si>
    <t>Očekávané</t>
  </si>
  <si>
    <t>Celková</t>
  </si>
  <si>
    <t>§</t>
  </si>
  <si>
    <t>Pol.</t>
  </si>
  <si>
    <t>Org.</t>
  </si>
  <si>
    <t>zahájení</t>
  </si>
  <si>
    <t>dokončení</t>
  </si>
  <si>
    <t>krytí rozpočtem SMO</t>
  </si>
  <si>
    <t>Veřejné rozpočty (stát, EU)</t>
  </si>
  <si>
    <t>Jiné zdroje (vlastní zdroje ÚMOb., spol.)</t>
  </si>
  <si>
    <t>r. 2020</t>
  </si>
  <si>
    <t>ORJ</t>
  </si>
  <si>
    <t>Statutární město Ostrava</t>
  </si>
  <si>
    <t>Veřejné rozpočty (stát/EU)</t>
  </si>
  <si>
    <t>Jiné zdroje (vlastní zdroje, ÚMOb.)</t>
  </si>
  <si>
    <t>ORJ 100 - Odbor dopravy celkem</t>
  </si>
  <si>
    <t>ORJ 130 - Odbor hospodářské správy celkem</t>
  </si>
  <si>
    <t>ORJ 133 - Odbor projektů IT služeb a outsourcingu celkem</t>
  </si>
  <si>
    <t>ORJ 137 - Odbor majetkový celkem</t>
  </si>
  <si>
    <t>ORJ 160 - Odbor kultury a volnočasových aktivit celkem</t>
  </si>
  <si>
    <t>ORJ 161 - Odbor školství a sportu aktivit celkem</t>
  </si>
  <si>
    <t>ORJ 300 - Odbor strategického rozvoje celkem</t>
  </si>
  <si>
    <t>ORJ 270 - Městská policie celkem</t>
  </si>
  <si>
    <t>ORJ 210 - Útvar hlavního architekta a stavebního řádu celkem</t>
  </si>
  <si>
    <t>ORJ 136 - Odbor hospodářské správy celkem</t>
  </si>
  <si>
    <t>ORJ 230 - Odbor investic celkem</t>
  </si>
  <si>
    <t>ODPA</t>
  </si>
  <si>
    <t xml:space="preserve">Jiné zdroje (směnky, vlastní zdroje ÚMOb., spol.) </t>
  </si>
  <si>
    <t>Jiné zdroje (směnky,vlastní zdroje, ÚMOb.)</t>
  </si>
  <si>
    <t>Jiné zdroje (směnky, vlastní zdroje, ÚMOb.)</t>
  </si>
  <si>
    <t>ORJ 100 - odbor dopravy</t>
  </si>
  <si>
    <t>ORJ 130 - odbor hospodářské správy</t>
  </si>
  <si>
    <t>ORJ 133 - odbor IT outsourcing</t>
  </si>
  <si>
    <t>ORJ 137 - odbor majetkový</t>
  </si>
  <si>
    <t>ORJ 160 - odbor kultury a volnočasových aktivit</t>
  </si>
  <si>
    <t>ORJ 210 - Útvar hlavního architekta a stavebního řádu</t>
  </si>
  <si>
    <t>ORJ 230 - odbor investiční</t>
  </si>
  <si>
    <t>ORJ 300 - odbor strategického rozvoje</t>
  </si>
  <si>
    <t xml:space="preserve">      C   E   L   K   E   M </t>
  </si>
  <si>
    <t>ORJ 136 - odbor hospodářské správy</t>
  </si>
  <si>
    <t>ORJ 161 - odbor školství a sportu</t>
  </si>
  <si>
    <t>ORJ 270 - Městská policie</t>
  </si>
  <si>
    <t>ORJ 190 - odbor ochrany životního prostředí</t>
  </si>
  <si>
    <t>ORJ 180 - Odbor sociálních věcí,zdravotnictví  a vzdělanosti celkem</t>
  </si>
  <si>
    <t>ORJ 190 - Odbor ochrany životního prostředí celkem</t>
  </si>
  <si>
    <t>Kapitálové výdaje SMO</t>
  </si>
  <si>
    <t>Navržené krytí kapitálových výdajů</t>
  </si>
  <si>
    <t>ZDROJE VLASTNÍ</t>
  </si>
  <si>
    <t>Pitná voda (viz příloha B)</t>
  </si>
  <si>
    <t>Odvádění a čištění odpadních vod a nakládání s kaly (viz příloha C)</t>
  </si>
  <si>
    <t>vázáno jinou smlouvou, usnesením RM, ZM, apod.</t>
  </si>
  <si>
    <t>(1)</t>
  </si>
  <si>
    <t>(2)</t>
  </si>
  <si>
    <t>(3)</t>
  </si>
  <si>
    <t>(4)</t>
  </si>
  <si>
    <t>(5)</t>
  </si>
  <si>
    <t>(6)</t>
  </si>
  <si>
    <t>(8)</t>
  </si>
  <si>
    <t>(9)</t>
  </si>
  <si>
    <t>(10)</t>
  </si>
  <si>
    <t>(12)</t>
  </si>
  <si>
    <t>(13)</t>
  </si>
  <si>
    <t>(14)</t>
  </si>
  <si>
    <t>(16)</t>
  </si>
  <si>
    <t>(17)</t>
  </si>
  <si>
    <t>(18)</t>
  </si>
  <si>
    <t>(20)</t>
  </si>
  <si>
    <t>(21)</t>
  </si>
  <si>
    <t>(22)</t>
  </si>
  <si>
    <t>Jiné zdroje (vlastní zdroje, ÚMOb., spol.)</t>
  </si>
  <si>
    <t>OdPa - 2310 - Pitná voda</t>
  </si>
  <si>
    <t xml:space="preserve">  § 2310 - C E L K E M</t>
  </si>
  <si>
    <t>OdPa - 2321 - Odvádění a čištění odpadních vod a nakládání s kaly</t>
  </si>
  <si>
    <t xml:space="preserve">  § 2321 - C E L K E M</t>
  </si>
  <si>
    <t>Odbor investic bez fondů</t>
  </si>
  <si>
    <t>ORJ 180 - odbor sociálních věcí, zdravotnictví a vzdělanosti - soc. oblast</t>
  </si>
  <si>
    <t>r. 2021</t>
  </si>
  <si>
    <t>ORJ 121 - Odbor kancelář primátora celkem</t>
  </si>
  <si>
    <t>ORJ 140 - Odbor školství a sportu celkem</t>
  </si>
  <si>
    <t>ORJ 121 - odbor kancelář primátora</t>
  </si>
  <si>
    <t>ORJ 170 - Odbor sociálních věcí,zdravotnictví  a vzdělanosti celkem</t>
  </si>
  <si>
    <t>ORJ 170 - odbor sociálních věcí, zdravotnictví a vzdělanosti -zdrav. oblast</t>
  </si>
  <si>
    <t>ORJ 140 - odbor školství a sportu</t>
  </si>
  <si>
    <t>Kapitálový rozpočet statutárního města Ostravy pro rok 2019  - členění dle ORJ</t>
  </si>
  <si>
    <r>
      <t xml:space="preserve">plnění do </t>
    </r>
    <r>
      <rPr>
        <b/>
        <sz val="11"/>
        <rFont val="Arial CE"/>
        <family val="2"/>
      </rPr>
      <t>12/2017</t>
    </r>
  </si>
  <si>
    <r>
      <t>plnění v roce</t>
    </r>
    <r>
      <rPr>
        <b/>
        <sz val="9"/>
        <rFont val="Arial CE"/>
        <family val="2"/>
      </rPr>
      <t xml:space="preserve"> </t>
    </r>
    <r>
      <rPr>
        <b/>
        <sz val="11"/>
        <rFont val="Arial CE"/>
        <family val="2"/>
      </rPr>
      <t>2018</t>
    </r>
  </si>
  <si>
    <r>
      <t>finanční potřeba na rok</t>
    </r>
    <r>
      <rPr>
        <b/>
        <sz val="9"/>
        <rFont val="Arial CE"/>
        <family val="2"/>
      </rPr>
      <t xml:space="preserve"> </t>
    </r>
    <r>
      <rPr>
        <b/>
        <sz val="11"/>
        <rFont val="Arial CE"/>
        <family val="2"/>
      </rPr>
      <t>2019</t>
    </r>
  </si>
  <si>
    <r>
      <t>Předpokl. nedočerpané prostředky</t>
    </r>
    <r>
      <rPr>
        <b/>
        <sz val="10"/>
        <rFont val="Arial CE"/>
        <family val="2"/>
      </rPr>
      <t xml:space="preserve"> </t>
    </r>
    <r>
      <rPr>
        <b/>
        <sz val="11"/>
        <rFont val="Arial CE"/>
        <family val="2"/>
      </rPr>
      <t>r.2018</t>
    </r>
  </si>
  <si>
    <t>Požadavek na rok 2019</t>
  </si>
  <si>
    <t>r. 2022</t>
  </si>
  <si>
    <t>Kapitálový výhled na léta 2020 - 2022</t>
  </si>
  <si>
    <r>
      <t>Plnění po r.</t>
    </r>
    <r>
      <rPr>
        <b/>
        <sz val="11"/>
        <rFont val="Arial CE"/>
        <family val="2"/>
      </rPr>
      <t>2022</t>
    </r>
  </si>
  <si>
    <r>
      <rPr>
        <b/>
        <sz val="28"/>
        <rFont val="Arial CE"/>
        <charset val="238"/>
      </rPr>
      <t xml:space="preserve">Kapitálový rozpočet statutárního města Ostravy pro rok 2019 </t>
    </r>
    <r>
      <rPr>
        <sz val="24"/>
        <rFont val="Arial CE"/>
        <charset val="238"/>
      </rPr>
      <t xml:space="preserve">- </t>
    </r>
    <r>
      <rPr>
        <u/>
        <sz val="24"/>
        <rFont val="Arial CE"/>
        <charset val="238"/>
      </rPr>
      <t>členění dle ORJ</t>
    </r>
  </si>
  <si>
    <r>
      <t>finanční potřeba na rok</t>
    </r>
    <r>
      <rPr>
        <b/>
        <sz val="9"/>
        <rFont val="Arial CE"/>
        <family val="2"/>
        <charset val="238"/>
      </rPr>
      <t xml:space="preserve"> </t>
    </r>
    <r>
      <rPr>
        <b/>
        <sz val="11"/>
        <rFont val="Arial CE"/>
        <charset val="238"/>
      </rPr>
      <t>2019</t>
    </r>
  </si>
  <si>
    <r>
      <t>Předpokl. nedočerpané prostředky</t>
    </r>
    <r>
      <rPr>
        <b/>
        <sz val="10"/>
        <rFont val="Arial CE"/>
        <charset val="238"/>
      </rPr>
      <t xml:space="preserve"> </t>
    </r>
    <r>
      <rPr>
        <b/>
        <sz val="11"/>
        <rFont val="Arial CE"/>
        <charset val="238"/>
      </rPr>
      <t>r.2018</t>
    </r>
  </si>
  <si>
    <r>
      <t>Plnění po r.</t>
    </r>
    <r>
      <rPr>
        <b/>
        <sz val="11"/>
        <rFont val="Arial CE"/>
        <charset val="238"/>
      </rPr>
      <t>2022</t>
    </r>
  </si>
  <si>
    <t>Srovnání zdrojů x kapitálových výdajů statutárního města Ostravy v roce 2019</t>
  </si>
  <si>
    <t>MMO-odbor dopravy – Automatizovaný systém řízení městského silničního provozu</t>
  </si>
  <si>
    <t xml:space="preserve">MMO-odbor dopravy - Spolufinancování investičních staveb </t>
  </si>
  <si>
    <r>
      <t>Plnění po r.</t>
    </r>
    <r>
      <rPr>
        <b/>
        <sz val="11"/>
        <rFont val="Arial"/>
        <family val="2"/>
        <charset val="238"/>
      </rPr>
      <t>2022</t>
    </r>
  </si>
  <si>
    <r>
      <t xml:space="preserve">plnění do </t>
    </r>
    <r>
      <rPr>
        <b/>
        <sz val="11"/>
        <rFont val="Arial"/>
        <family val="2"/>
        <charset val="238"/>
      </rPr>
      <t>12/2017</t>
    </r>
  </si>
  <si>
    <r>
      <t>plnění v roce</t>
    </r>
    <r>
      <rPr>
        <b/>
        <sz val="9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2018</t>
    </r>
  </si>
  <si>
    <r>
      <t>finanční potřeba na rok</t>
    </r>
    <r>
      <rPr>
        <b/>
        <sz val="9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2019</t>
    </r>
  </si>
  <si>
    <r>
      <t>Předpokl. nedočerpané prostředky</t>
    </r>
    <r>
      <rPr>
        <b/>
        <sz val="10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r.2018</t>
    </r>
  </si>
  <si>
    <t xml:space="preserve">Rekonstrukce ÚV Nová Ves </t>
  </si>
  <si>
    <t>NVE</t>
  </si>
  <si>
    <t>Rekonstrukce vodovodu ul. Staňkova</t>
  </si>
  <si>
    <t>OJI</t>
  </si>
  <si>
    <t>Kanalizace a vodovod ul. Frankova</t>
  </si>
  <si>
    <t>PRO</t>
  </si>
  <si>
    <t>Vodojem Záhumenice - nápajecí kabel</t>
  </si>
  <si>
    <t>POR</t>
  </si>
  <si>
    <t>Heřmanice - rekonstrukce vodovodu a kanalizace, lokalita Bučina</t>
  </si>
  <si>
    <t>SLO</t>
  </si>
  <si>
    <t>Rek. vodovodu a kanalizace Martinovská</t>
  </si>
  <si>
    <t>MAR</t>
  </si>
  <si>
    <t>Rek. vodovodu VTP Ostrčilova</t>
  </si>
  <si>
    <t>MOP</t>
  </si>
  <si>
    <t>Příprava vodohospodářských staveb - LJ</t>
  </si>
  <si>
    <t>OVA</t>
  </si>
  <si>
    <t>Příprava vodohospodářských staveb -PH</t>
  </si>
  <si>
    <t>Příprava vodohospodářských staveb - PN</t>
  </si>
  <si>
    <t>Příprava vodohospodářských staveb - RK</t>
  </si>
  <si>
    <t>Příprava vodohospodářských staveb - ZJ</t>
  </si>
  <si>
    <t>Vodovod P. Křičky</t>
  </si>
  <si>
    <t>Příprava vodohospodářských staveb - DK</t>
  </si>
  <si>
    <t>Rek. vod. ul. Michálkovická, Petřvaldská</t>
  </si>
  <si>
    <t>Rek. vod. a kanalizace na ul. Čs. legií a nám. Msgre Šrámka</t>
  </si>
  <si>
    <t>Rekonstrukce kanalizace a vodovodu ul. Moravská</t>
  </si>
  <si>
    <t xml:space="preserve">Rekonstrukce vodovodu Marianskohorská ÚV Nová Ves </t>
  </si>
  <si>
    <t>Rekonstrukce vodovodu a kanalizace Radvanice a Bartovice vč. komunikace</t>
  </si>
  <si>
    <t>Rekonstrukce násosek Důlňák</t>
  </si>
  <si>
    <t>RAB</t>
  </si>
  <si>
    <t>Příprava vodohospodářských staveb - PH</t>
  </si>
  <si>
    <t>Posílení vodovodu ul. Na Rovince, DN 300</t>
  </si>
  <si>
    <t>HRA</t>
  </si>
  <si>
    <t>Rek. vod. a kanal. v ul. Sokola Tůmy</t>
  </si>
  <si>
    <t>MHH</t>
  </si>
  <si>
    <t>Rek. vod. a kanal. ul. Českobratrská a Sadová a Úprava povrchů ul. Českobratrská v úseku Nádražní-Sokolská třída, č.2-ul.Sadová</t>
  </si>
  <si>
    <t>Rekonstrukce vodovodu Přemyšov-Poruba</t>
  </si>
  <si>
    <t>Nouzové napájení úpravny vody a prameniště Nová Ves</t>
  </si>
  <si>
    <t>Příprava vodohospodářských staveb - LM</t>
  </si>
  <si>
    <t>Odkanal. O.-přívozu na ÚČOV-1.et.,2.č.(V)</t>
  </si>
  <si>
    <t>Plošná kanalizace - Michálkovice, 1. a 2. et. (SANACE)</t>
  </si>
  <si>
    <t>Prodloužení sběrače B do Radvanic (SANACE) (V)</t>
  </si>
  <si>
    <t>Kanalizace Bartovice (V)</t>
  </si>
  <si>
    <t>Kanalizace Plesná - Žižkov</t>
  </si>
  <si>
    <t>PLE</t>
  </si>
  <si>
    <t>Kanalizace Krásné Pole - II. et.</t>
  </si>
  <si>
    <t>KPO</t>
  </si>
  <si>
    <t>Kanal. Hrabová - 4., 5., 6. stavba + odleh. (V)</t>
  </si>
  <si>
    <t>Rekonstrukce ÚČOV Ostrava</t>
  </si>
  <si>
    <t>Kanalizace Petřkovice - B, IV. a V. etapa</t>
  </si>
  <si>
    <t>PET</t>
  </si>
  <si>
    <t>Kanalizace splašková Plesná - II. et., 2. část</t>
  </si>
  <si>
    <t>Kanalizace Kunčičky (V)</t>
  </si>
  <si>
    <t>Kanalizace Hrušov (V)</t>
  </si>
  <si>
    <t>Odkanalizování jižní části Svinova (SANACE) (V)</t>
  </si>
  <si>
    <t>SVI</t>
  </si>
  <si>
    <t>Kanaliz. Heřmanice (Vrbická, Záblatská) (SANACE) (V)</t>
  </si>
  <si>
    <t>Kanalizace Koblov (SANACE) (V)</t>
  </si>
  <si>
    <t>Kanalizace Proskovice - propojení</t>
  </si>
  <si>
    <t>Kanalizace ul. Zvěřinská (V)</t>
  </si>
  <si>
    <t>Rek.kanalizace ul.Slívova a Jan Marie (V)</t>
  </si>
  <si>
    <t>Kanalizace Heřmanice - Bučina (V)</t>
  </si>
  <si>
    <t>Zrušení vyústění kanalizace Na Sovinci (V)</t>
  </si>
  <si>
    <t>SBE</t>
  </si>
  <si>
    <t>Kanalizace Nová Bělá</t>
  </si>
  <si>
    <t>NBE</t>
  </si>
  <si>
    <r>
      <t xml:space="preserve">Příprava vodohospodářských staveb </t>
    </r>
    <r>
      <rPr>
        <strike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PH</t>
    </r>
  </si>
  <si>
    <t>Oprava kanalizace ul. Hradní (SANACE)</t>
  </si>
  <si>
    <t>Rek. kanalizace ul. Mánesova (SANACE)</t>
  </si>
  <si>
    <t>Rek. ČSOV Pašerových, kanal. v ul. Grmelova (V)</t>
  </si>
  <si>
    <t>Kanalizace a ČOV Koblov (V)</t>
  </si>
  <si>
    <t>Rek. kanalizace ul. Cihelní</t>
  </si>
  <si>
    <t>Rekonstrukce DN 1 a 3</t>
  </si>
  <si>
    <t>Kanalizace Hrušov - osady</t>
  </si>
  <si>
    <t>Rek. kanalizace ul. Křižíkova</t>
  </si>
  <si>
    <t>Rek. kanal. ul. Hrušovská a ul. U Parku</t>
  </si>
  <si>
    <t xml:space="preserve">Mariánské Hory a Hulváky - rekonstrukce kanalizace  </t>
  </si>
  <si>
    <t xml:space="preserve">Rekonstrukce kanalizace ul. Soukenická, Valchařská a Gorkého  </t>
  </si>
  <si>
    <t>Odlehčovací stoka Muglinovská</t>
  </si>
  <si>
    <t>Rekonstrukce kanalizace ul. Klasná</t>
  </si>
  <si>
    <t>Rekonstrukce ČS Provozní</t>
  </si>
  <si>
    <t>TRE</t>
  </si>
  <si>
    <t>Rekonstrukce kanalizace Jahodová</t>
  </si>
  <si>
    <t>ČOV Heřmanice I – česle</t>
  </si>
  <si>
    <t>BAR</t>
  </si>
  <si>
    <t>Příprava VH staveb - PH</t>
  </si>
  <si>
    <t>Rek.kanalizace ul.Hájkova</t>
  </si>
  <si>
    <t>Rozšíření veř. kan. sítě v areálu DIZ v Ostravě -Vítkovicích</t>
  </si>
  <si>
    <t>VIT</t>
  </si>
  <si>
    <t>Dostavba kanalizace v ul. Chrobákova</t>
  </si>
  <si>
    <t xml:space="preserve">Rekonstrukce kanalizace ul. Výstavní </t>
  </si>
  <si>
    <t>Odkanal. ulic K Odře a Smrčkova vč. komunikace</t>
  </si>
  <si>
    <t>Odkanal. lokality Na Pastvinách</t>
  </si>
  <si>
    <t>Přepojování kanal.přípojek při výstavbě oddílné kanalizace</t>
  </si>
  <si>
    <t>Rekonstrukce kanalizace v ulici 1. máje u plynojemu MAN</t>
  </si>
  <si>
    <t>Obnovení DVT Muglinovský potok</t>
  </si>
  <si>
    <t>Rekonstrukce sběrače D</t>
  </si>
  <si>
    <t>Dostavba kanalizace a rekonstrukce vodovodu Pikartská</t>
  </si>
  <si>
    <t>MIC</t>
  </si>
  <si>
    <t>Dostavba kanalizace v ul. Na Svém</t>
  </si>
  <si>
    <t>Propojení kanalizace  ul.Trnkovecká a Těšínská na sběrač B (V)</t>
  </si>
  <si>
    <t>MMO - odbor dopravy - Zvýšení propustnosti křižovatek v Ostravě</t>
  </si>
  <si>
    <t>MMO - odbor dopravy - Silnice II/478 prodloužená Mostní II. etapa (dotace SMO MSK)</t>
  </si>
  <si>
    <t>MMO odbor dopravy - Nová Krmelínská (dotace SMO MSK)</t>
  </si>
  <si>
    <t>MMO odbor dopravy - Okružní křižovatka Mostní Frýdecká (dotace SMO MSK)</t>
  </si>
  <si>
    <t>MMO - odbor dopravy - Tunel pro tranzitní dopravu ul. Bohumínská</t>
  </si>
  <si>
    <t>MMO-odbor dopravy – podzemní parkoviště u DKMO</t>
  </si>
  <si>
    <t>MMO-odbor dopravy – Nákup parkovacích automatů</t>
  </si>
  <si>
    <t>MMO-odbor dopravy – Parkovací dům Porážková - Švabinského</t>
  </si>
  <si>
    <t>MMO-odbor dopravy – Parkovací dům - Plynárny</t>
  </si>
  <si>
    <t>MMO - odbor strategického rozvoje - Zavedení bikesharingu v Ostravě</t>
  </si>
  <si>
    <t>MMO-odbor dopravy - Rekonstrukce přednádražního prostoru hl. nádraží</t>
  </si>
  <si>
    <t>MOR</t>
  </si>
  <si>
    <t>MMO-odbor dopravy - Nová linka MHD (DOV-Karolina-centrum)</t>
  </si>
  <si>
    <t xml:space="preserve">MMO-odbor dopravy - Inteligentní zastávky, II. etapa </t>
  </si>
  <si>
    <t>MMO-odbor dopravy - Revitalizace městského mobiliáře - přístřešky</t>
  </si>
  <si>
    <t>MMO-odbor dopravy - Humanizace tramvajových tratí - zatrávnění</t>
  </si>
  <si>
    <t>MMO-odbor dopravy - Přemístění autobusové provozovny Poruba</t>
  </si>
  <si>
    <t xml:space="preserve">MMO-odbor dopravy - Prvky zvýšení bezpečnosti veřejné dopravy </t>
  </si>
  <si>
    <t>MMO-odbor dopravy - Zvýšení kvality prostředí v tramvajích</t>
  </si>
  <si>
    <t>MMO-odbor dopravy - Inteligentní parkovací systém</t>
  </si>
  <si>
    <t>MMO-odbor dopravy - Humanizace tramv. tratí - omezení negativních vlivů</t>
  </si>
  <si>
    <t>MMO - odbor školství a sportu - Klíče pro budoucnost našich dětí ve školských zařízeních města Ostravy II. (projekt EU)</t>
  </si>
  <si>
    <t>MMO - odbor kultury a volnočasových aktivit - ND moravskoslezské - Rekonstrukce areálu DJM</t>
  </si>
  <si>
    <t>MMO - odbor kultury a volnočasových aktivit - ND moravskoslezské - Oprava dvorních fasád DJM</t>
  </si>
  <si>
    <t>MMO - odbor kultury a volnočasových aktivit - Pavilon "G" Černá louka</t>
  </si>
  <si>
    <t>MMO - odbor kultury a volnočasových aktivit - Divadlo loutek - Modernizace světelného parku a dokončení modernizace zvukového parku - digitalizace (2.etapa) v Hlavním sále</t>
  </si>
  <si>
    <t>MMO - odbor kultury a volnočasovýck aktivit - Fond pro koncertní halu</t>
  </si>
  <si>
    <t>MMO - útvar hlavního architekta a tavebního řádu - IZ pro koncertní halu</t>
  </si>
  <si>
    <t>MMO - odbor kultury a volnočasových aktivit - Rekonstrukce a modernizace DK POKLAD</t>
  </si>
  <si>
    <t>MMO - odbor kultury a volnočasových aktivit - Interiéry DK POKLAD</t>
  </si>
  <si>
    <t xml:space="preserve">MMO – odbor školství a sportu -   Bazaly – rekonstrukce stadionu                          </t>
  </si>
  <si>
    <t>MMO – odbor školství a sportu - Stavební úpravy OSTRAVAR ARÉNA</t>
  </si>
  <si>
    <t>JIH</t>
  </si>
  <si>
    <t>MMO – odbor školství a sportu - Stavební úpravy Městský stadion</t>
  </si>
  <si>
    <t>SAREZA - Modernizace a revitalizace venk. areálu Krytého bazénu Ostrava-Poruba   III. etapa</t>
  </si>
  <si>
    <t>MMO - odbor školství a sportu - Zateplení objektu Krytý bazén Ostrava-Poruba (střechy, fasády, vstupní předprostor)</t>
  </si>
  <si>
    <t>MMO - odbor školství a sportu - Zateplení objektu Sportovní hala Ostrava (střechy, fasády, dveřní a okenní výplně)</t>
  </si>
  <si>
    <t>MMO - odbor školství a sportu - Zateplení bazénové haly Vodní svět SAREZA (střecha, fasáda, prosklená plocha, výměna VZT)</t>
  </si>
  <si>
    <t>MMO – odbor školství a sportu - Hala pro míčové sporty</t>
  </si>
  <si>
    <t>MMO - odbor životního prostředí  - Rekonstrukce Krematoria Ostrava</t>
  </si>
  <si>
    <t>MMO - ÚHA - Územní plán</t>
  </si>
  <si>
    <t>MMO - ÚHA - Územně plánovací dokumentace a územně plánovací podklady</t>
  </si>
  <si>
    <t>MMO - odbor majektový - Výkupy staveb dle potřeb SMO</t>
  </si>
  <si>
    <t xml:space="preserve">MMO - odbor majetkový - Výkupy pozemků dle potřeb SMO </t>
  </si>
  <si>
    <t>MMO - odbor strategického rozvoje - MSIC investice</t>
  </si>
  <si>
    <t>MMO - odbor životního prostředí - Budování veřejných WC na území města Ostravy</t>
  </si>
  <si>
    <t>MMO- útvar hlavního architekta a tavebního řádu - arch. soutěže</t>
  </si>
  <si>
    <t>MMO - odbor ochrany životního prostředí - Vybudování podzemních kontejnerů na odpad</t>
  </si>
  <si>
    <t>MMO - odbor ochrany životního prostředí - Protipovodňová opatření pro zástavbu Polanky nad Odrou</t>
  </si>
  <si>
    <t>POL</t>
  </si>
  <si>
    <t>MMO - odbor ochrany životního prostředí - Adaptační opatření</t>
  </si>
  <si>
    <t>Městská policie - Obnova vozového parku</t>
  </si>
  <si>
    <t>MMO - odbo hospodářské správy (ORJ 130)</t>
  </si>
  <si>
    <t>MMO - kancelář primátora - Automobilový žebřík se záchrannou výškou 30 m pro HS 1 - obměna 1 ks</t>
  </si>
  <si>
    <r>
      <t xml:space="preserve">MMO - odbor hospodářské správy (ORJ 130)   </t>
    </r>
    <r>
      <rPr>
        <sz val="10"/>
        <color indexed="10"/>
        <rFont val="Arial"/>
        <family val="2"/>
        <charset val="238"/>
      </rPr>
      <t xml:space="preserve">            </t>
    </r>
  </si>
  <si>
    <t xml:space="preserve">MMO - odbor hospodářské správy (ORJ 136) </t>
  </si>
  <si>
    <t>MMO - odbor IT outsourcing (ORJ 133)</t>
  </si>
  <si>
    <t>MMO - odbor IT outsourcing (ORJ 134)</t>
  </si>
  <si>
    <t>ORJ 134 - Odbor projektů IT služeb a outsourcingu celkem</t>
  </si>
  <si>
    <t>ORJ 134 - odbor IT outsourcing</t>
  </si>
  <si>
    <t>Kap. rezerva odboru investičního</t>
  </si>
  <si>
    <t>0000</t>
  </si>
  <si>
    <t>PD a příprava staveb zajišťovaných OI MMO</t>
  </si>
  <si>
    <t>Archív města - rozšíření</t>
  </si>
  <si>
    <t>Administrativní budova Janáčkova</t>
  </si>
  <si>
    <t>Nová radnice - vnitřní rozvody NN - rekonstrukce</t>
  </si>
  <si>
    <t xml:space="preserve">Nová radnice - ochrana proti přepětí </t>
  </si>
  <si>
    <t>Rekonstrukce vily na Zapadlém (Grossmanova vila)</t>
  </si>
  <si>
    <t xml:space="preserve">Nová radnice – náhradní zdroj elektrické energie   </t>
  </si>
  <si>
    <t xml:space="preserve">Nová radnice - klimatizace </t>
  </si>
  <si>
    <t>Budova Nová radnice - trafostanice</t>
  </si>
  <si>
    <t>NR - rekonstrukce fasády a oken</t>
  </si>
  <si>
    <t>Rekonstrukce budovy Nové radnice</t>
  </si>
  <si>
    <t>Revitalizace areálu bývalých kasáren Hranečník - SO 02 Budova PČR, SO 03 garáže PČR</t>
  </si>
  <si>
    <t>PUS</t>
  </si>
  <si>
    <t>Hasičská zbrojnice Pustkovec</t>
  </si>
  <si>
    <t>Revitalizace areálu kasáren Hranečník - garáže MPO (IV.etapa)</t>
  </si>
  <si>
    <t>Revitalizace areálu kasáren Hranečník - garáže HZS(V.etapa)</t>
  </si>
  <si>
    <t>Revitalizace areálu kasáren Hranečník - technická a dopravní infrastruktura (III.etapa)</t>
  </si>
  <si>
    <t>Městečko bezpečí</t>
  </si>
  <si>
    <t>Revitalizace zahrady Armády spásy</t>
  </si>
  <si>
    <t>Dům pro rodinu a sociální péči</t>
  </si>
  <si>
    <t>Domovy pro seniory - úpravny vody</t>
  </si>
  <si>
    <t>Domov pro seniory Sluníčko - kamerové systémy</t>
  </si>
  <si>
    <t>Domovy IRIS a Kamenec - přechod NN na VN</t>
  </si>
  <si>
    <t>Domov Korýtko - rekonstrukce výměníkové stanice</t>
  </si>
  <si>
    <t>Domov Korýtko - rekonstrukce ležatých rozvodů SV + TUV</t>
  </si>
  <si>
    <t>Domovy pro seniory ochrana proti přepětí</t>
  </si>
  <si>
    <t>Transformace Domova Na Liščině II.etapa</t>
  </si>
  <si>
    <t>Transformace Domova Barevný svět II.etapa</t>
  </si>
  <si>
    <t>Solární systém pro přípravu teplé vody pro Domov pro seniory Kamenec</t>
  </si>
  <si>
    <t>Domov pro seniory Hulváky</t>
  </si>
  <si>
    <t>Domov pro seniory Čujkovova - vzduchotechnika - rekonstrukce</t>
  </si>
  <si>
    <t>Domovy pro seniory - LEGIONELLA</t>
  </si>
  <si>
    <t>Domov Sluníčko - rekonstrukce zdroje energie</t>
  </si>
  <si>
    <t>Domov pro seniory Korýtko - rekonstrukce domova</t>
  </si>
  <si>
    <t>Areál Zábřeh - energie</t>
  </si>
  <si>
    <t>Domov Magnolie - vzduchotechniky - rekonstrukce</t>
  </si>
  <si>
    <t>Domovy pro seniory-rekonstrukce trafostanic</t>
  </si>
  <si>
    <t>POR
PUS</t>
  </si>
  <si>
    <t>Revitalizace Pustkoveckého údolí</t>
  </si>
  <si>
    <t>Revitalizace lesoparku Benátky a Hulváckého kopce</t>
  </si>
  <si>
    <t>Úprava výsadbových míst Prokešovo náměstí</t>
  </si>
  <si>
    <t xml:space="preserve">Parková úprava za Poliklinikou Hrabůvka                                           </t>
  </si>
  <si>
    <t xml:space="preserve">Park u Zámku Zábřeh                                                                                      </t>
  </si>
  <si>
    <t>MHaH</t>
  </si>
  <si>
    <t xml:space="preserve">Smetanův sad                                                                                                              </t>
  </si>
  <si>
    <r>
      <t xml:space="preserve">Parková úprava na Prokešově náměstí                                                               </t>
    </r>
    <r>
      <rPr>
        <sz val="10"/>
        <color indexed="10"/>
        <rFont val="Arial"/>
        <family val="2"/>
        <charset val="238"/>
      </rPr>
      <t xml:space="preserve"> </t>
    </r>
  </si>
  <si>
    <t>NV</t>
  </si>
  <si>
    <t xml:space="preserve">Park U Boříka)                                                                                                    </t>
  </si>
  <si>
    <r>
      <t xml:space="preserve">Cingrův sad </t>
    </r>
    <r>
      <rPr>
        <sz val="10"/>
        <color indexed="10"/>
        <rFont val="Arial"/>
        <family val="2"/>
        <charset val="238"/>
      </rPr>
      <t xml:space="preserve">                                                                                                                 </t>
    </r>
  </si>
  <si>
    <t xml:space="preserve">Revitalizace parku u Biskupství                                                                     </t>
  </si>
  <si>
    <t>ZOO - expozice giboni a kopytníci</t>
  </si>
  <si>
    <t>ZOO expozice makaka lvího</t>
  </si>
  <si>
    <t>ZOO - voliéra kondora</t>
  </si>
  <si>
    <t>ZOO - energetické hospodářství</t>
  </si>
  <si>
    <t>Nové lauby</t>
  </si>
  <si>
    <t xml:space="preserve">Změny uspořádání areálu Provoz kanalizační sítě v Ostravě - Třebovicích vyvolané stavbou severního spoje                                                                                        </t>
  </si>
  <si>
    <t>Moš</t>
  </si>
  <si>
    <t>Regulační vodárenský uzel PZ Mošnov 
(PZ Mošnov - SPZ Ostrava Mošnov TI – II.etapa, vodovody)</t>
  </si>
  <si>
    <t>SPZ Ostrava Mošnov - TI - II. et., plynárenské zařízení</t>
  </si>
  <si>
    <t xml:space="preserve">Multifunkční parkovací dům u MNO p.o. </t>
  </si>
  <si>
    <t>Černá louka - rekonstrukce komunikací a zp.ploch II.et</t>
  </si>
  <si>
    <t>Energeticky úsporné akce na objektech města</t>
  </si>
  <si>
    <t>Věcná břemena ukončených staveb</t>
  </si>
  <si>
    <t>Rekonstrukce VO oblast Petruškova</t>
  </si>
  <si>
    <t>Rekonstrukce VO lesopark Bělský les</t>
  </si>
  <si>
    <t>SLE</t>
  </si>
  <si>
    <t>Rekonstrukce VO oblast Slívova</t>
  </si>
  <si>
    <t>Veřejné osvětlení Na Zvoničce</t>
  </si>
  <si>
    <t>Veřejné osvětlení Ostrava -Vítkovice, most ul. Rudná</t>
  </si>
  <si>
    <t>Veřejné osvětlení Ostrava - Poruba, oblast V Zahradách, I. etapa</t>
  </si>
  <si>
    <t>Veřejné osvětlení Ostrava - Nová Ves , ul. Novoveská</t>
  </si>
  <si>
    <t>Veřejné osvětlení Ostrava - Muglinov, oblast Sklářova</t>
  </si>
  <si>
    <t>Veřejné osvětlení Ostrava - Michálkovice, ul. Radniční</t>
  </si>
  <si>
    <t>Veřejné osvětlení Ostrava - Zábřeh, oblast Šaldova</t>
  </si>
  <si>
    <t>Veřejné osvětlení Ostrava, ul. U Hrůbků</t>
  </si>
  <si>
    <t>Veřejné osvětlení Ostrava-Zábřeh, Družstvo</t>
  </si>
  <si>
    <t>Veřejné osvětlení Ostrava-Heřmanice, ul. Vrbická</t>
  </si>
  <si>
    <t>Veřejné osvětlení Ostrava-Heřmanice, ul. Požární</t>
  </si>
  <si>
    <t>Veřejné osvětlení V. Košaře</t>
  </si>
  <si>
    <t>Veřejné osvětlení Mjr. Nováka</t>
  </si>
  <si>
    <t>Rekonstrukce VO oblast Garbova - Sněžná</t>
  </si>
  <si>
    <t>Veřejné osvětlení Plesná</t>
  </si>
  <si>
    <t>Rekonstrukce VO oblast Kafkova - Nemocniční</t>
  </si>
  <si>
    <t>Rekonstrukce VO Porubská - B. Martinů</t>
  </si>
  <si>
    <t>Rekonstrukce VO nám. Jana Nerudy</t>
  </si>
  <si>
    <t>Doplnění VO Hvězdná</t>
  </si>
  <si>
    <t>Doplnění VO hřbitov Radvanice a modernizace ul. Paculova</t>
  </si>
  <si>
    <t>Rekonstrukce VO Červeného kříže - Bozděchova</t>
  </si>
  <si>
    <t>Osvětlení přechodů pro chodce ul. Nádražní</t>
  </si>
  <si>
    <t>Doplnění VO ul. Podolí</t>
  </si>
  <si>
    <t>Rekonjstrukce VO oblast Šeříkova - na Výspě</t>
  </si>
  <si>
    <t>Rekonstrukce VO oblast Lumírova Charvatská</t>
  </si>
  <si>
    <t>Rekonstrukce VO oblast B. Nikodéma</t>
  </si>
  <si>
    <t>Rekonstrukce VO - stavby se sítí NN</t>
  </si>
  <si>
    <t>PD a příprava staveb VO</t>
  </si>
  <si>
    <t>Rekonstrukce budovy restaurace Spolek, Nádražní 143/13, Ostrava</t>
  </si>
  <si>
    <t>Rekonstrukce objektu Husova 7</t>
  </si>
  <si>
    <t>Stavební úpravy objektu č.p.75,ul.Střelniční 8</t>
  </si>
  <si>
    <t>Dětské centrum Domeček - transformace centra</t>
  </si>
  <si>
    <t>Dětské centrum Domeček - energetické hospodářství</t>
  </si>
  <si>
    <t>MNO-LDN Radvanice - zateplení obvodového pláště, výměna oken a dveří, oprava balkónu</t>
  </si>
  <si>
    <t>Energetické úspory LDN Radvanice</t>
  </si>
  <si>
    <t>Městská nemocnice - rekonstrukce venkovního osvětlení</t>
  </si>
  <si>
    <t>Městská nemocnice - rekonstrukce rozvoden VN 22 kV</t>
  </si>
  <si>
    <t>Městská nemocnice - rekonstrukce rozvodů VN 22 kV</t>
  </si>
  <si>
    <t>MNO - Výstavba nového objektu s hyperbarickou komorou</t>
  </si>
  <si>
    <t>Stavební úpravy objektu na ul. Hornopolní 1169/7</t>
  </si>
  <si>
    <t>Stavební úpravy objektu na ul. Nemocniční 947/18</t>
  </si>
  <si>
    <t>Výstavba pavilonu X a pavilonu Y</t>
  </si>
  <si>
    <t>Stavební úpravy v pavilonu H2 - zřízení metabolické JIP a nové chráněné únikové cesty v pavilonu H1 a H2</t>
  </si>
  <si>
    <t>Energetické úspory MNO - Lékařská pohotovostní služba a autodílny MNO</t>
  </si>
  <si>
    <t>Energetické úspory MNO - Centrální sklad, sklad oddělení zásobování</t>
  </si>
  <si>
    <t>Rekonstrukce celého chirurgického oddělení a oddělení ARO v části monobloku E2 a E4 v areálu MNO</t>
  </si>
  <si>
    <t>Nemocnice Fifejdy energetické hospodářství - rekonstrukce</t>
  </si>
  <si>
    <t>Dopravní hřiště Orebitská</t>
  </si>
  <si>
    <t>MMO – odbor školství a sportu - SKSB - ME v softballu žen</t>
  </si>
  <si>
    <t>NOB</t>
  </si>
  <si>
    <t>Nová Bělá - sportovní hala</t>
  </si>
  <si>
    <t>Třebovice - sportovní víceúčelová hala</t>
  </si>
  <si>
    <t>Oprava fotbalového trávniku FK Stará Běla</t>
  </si>
  <si>
    <t>Sportovní hala Sokolovna Svinov</t>
  </si>
  <si>
    <t>Rekonstrukce sportovního areálu Poruba I.etapa</t>
  </si>
  <si>
    <t>Sportovní areál u ZŠ Bílovecká</t>
  </si>
  <si>
    <t>Skořápka - centrum uměleckých terapií</t>
  </si>
  <si>
    <t>Rekonstrukce historické budovy bývalých městských jatek pro účely galerie PLATO Ostrava</t>
  </si>
  <si>
    <t>Mezinárodní kulturní centrum - budova č.p.3204, ul. Stodolní, Moravská Ostrav (meet factory)</t>
  </si>
  <si>
    <t>Ostravské muzeum MHD</t>
  </si>
  <si>
    <t>Revitalizace knihovny Podroužkova - rek. vnitřních prostor</t>
  </si>
  <si>
    <t>Divadlo loutek - fasády, okna, dřevěné prvky</t>
  </si>
  <si>
    <t>Rekonstrukce divadelního sálu vč. předsálí Ostrčilova</t>
  </si>
  <si>
    <t xml:space="preserve">Zpřístupnění školských p.o. </t>
  </si>
  <si>
    <t>Základní  školy - vytápění - regulace po zateplení</t>
  </si>
  <si>
    <t>Dětské dopravní hřiště v areálu ZŠ Bílovecká ve Svinově</t>
  </si>
  <si>
    <t>Mateřské školy - vytápění - regulace po zateplení</t>
  </si>
  <si>
    <t>Využití řek Ostravice, Odry a Opavy pro sportovní plavbu</t>
  </si>
  <si>
    <t>Revitalizace okolí řeky Ostravice (Havlíčkovo nábřeží)</t>
  </si>
  <si>
    <t>Stavební úpravy opevnění bermy řeky Ostravice</t>
  </si>
  <si>
    <t>Revitalizace vodní plochy Radvanice</t>
  </si>
  <si>
    <t>MOP SLO</t>
  </si>
  <si>
    <t>Výstavba nové tramvajové smyčky Ostrava - Výstaviště</t>
  </si>
  <si>
    <t>Zkušební plocha pro motocykly Ostrava - Přívoz</t>
  </si>
  <si>
    <t>Inteligentní zastávky - II. etapa</t>
  </si>
  <si>
    <t>Rekonstrukce a revitalizace Nám. republiky</t>
  </si>
  <si>
    <t>Rekonstrukce tramvajové zastávky Důl Odra</t>
  </si>
  <si>
    <t>Ekologizace veřejné dopravy, Ostrava-Poruba</t>
  </si>
  <si>
    <t>Přestupní uzel Hulváky, II. etapa, tramvajové zastávky</t>
  </si>
  <si>
    <t>Městský mobiliář Smetanovo náměstí</t>
  </si>
  <si>
    <t>Revitalizace knihovny Podroužkova - zpevněné plochy</t>
  </si>
  <si>
    <t>Parkovací objekty DK POKLAD</t>
  </si>
  <si>
    <t>Stavební úpravy Jantarové stezky v k.ú. Martinov ve Slezsku</t>
  </si>
  <si>
    <t>Cyklistická trasa J,V - úsek Radvanice - Michálkovice</t>
  </si>
  <si>
    <t>MOP
VIT</t>
  </si>
  <si>
    <t>Parkoviště Hlubina</t>
  </si>
  <si>
    <t>Propojení cyklostezek Polanka nad Odrou - Stará Bělá</t>
  </si>
  <si>
    <t>VÍT</t>
  </si>
  <si>
    <t>Záchytné parkoviště Kolonie Jeremenko - ul. Moravská, ul. Místecká</t>
  </si>
  <si>
    <t>Rekonstrukce podchodu pod ul. Místeckou</t>
  </si>
  <si>
    <t>Modernizace podchodu u tramvajové zastávky Důl Hlubina</t>
  </si>
  <si>
    <t xml:space="preserve">Cyklistická trasa E Hrušov - Vrbice (součást projektu "Zpřístupnění Odry a Olše") </t>
  </si>
  <si>
    <t>Parkoviště v Ostravě-Přívoze u tramvajové smyčky Hlučínská</t>
  </si>
  <si>
    <t xml:space="preserve">Nábřeží Ostravice - lokalita Most Miloše Sýkory </t>
  </si>
  <si>
    <t xml:space="preserve">Cyklopropojení centra s DOV </t>
  </si>
  <si>
    <t>Autobusová zastávka  MK ul. Karla Svobody</t>
  </si>
  <si>
    <t>Rekonstrukce komunikace pro pěší v bermě řeky Ostravice</t>
  </si>
  <si>
    <t>Propojení cyklostezek Petřkovice</t>
  </si>
  <si>
    <t>Vícepodlažní parkování u ZOO Ostrava</t>
  </si>
  <si>
    <t>Cyklostezka ul. Želivského, Na Rovince</t>
  </si>
  <si>
    <t>Cyklotrasa S,M - Mečníkovova, Žákovská</t>
  </si>
  <si>
    <t>Parkoviště Most Českobratrská</t>
  </si>
  <si>
    <t>Cyklistické propojení ul. Poděbradova, Horova</t>
  </si>
  <si>
    <t>Cyklotrasa M - ul. 1.máje, Sokola Tůmy</t>
  </si>
  <si>
    <t>Cyklotrasa F, U - Kaminského, Ječmínkova</t>
  </si>
  <si>
    <t>Cyklotrasa R - Svinov, Polanka</t>
  </si>
  <si>
    <t>Cyklotrasa F - Hulváky, Stojanovo náměstí</t>
  </si>
  <si>
    <t>Cyklistické propojení ul. 17.listopadu, VTP</t>
  </si>
  <si>
    <t>Cyklostezka W Poruba - Krásné Pole</t>
  </si>
  <si>
    <t>Cyklistické řešení na ul. Na Rovince</t>
  </si>
  <si>
    <t>Cyklostezka Hornopolní x Varenská x Hollarova</t>
  </si>
  <si>
    <t>Cyklostezka Polanka nad Odrou - železniční přejezd, ul. K Pile</t>
  </si>
  <si>
    <t>Cyklostezka Nová Ves - vodárna</t>
  </si>
  <si>
    <t>Cyklistická stezka Proskovická, Blanická</t>
  </si>
  <si>
    <t>Cyklistická trasa U - U Výtopny, Pavlovova</t>
  </si>
  <si>
    <t>Cyklotrasa P - průchodnost Starobní, Provaznická, Dr. Martínka</t>
  </si>
  <si>
    <t>Cyklotrasa M přes Svinovské mosty</t>
  </si>
  <si>
    <t>Okružní křiž. Novinářská - Hornopolní - Novoveská</t>
  </si>
  <si>
    <t>Okružní křižovatka Francouzská - Jilemnického nám.</t>
  </si>
  <si>
    <t>Silnice III/4787 Ostrava, ulice Výškovická, mosty 4787-3, 4787-4 (vypořádání SO mezi MSK a SMO)</t>
  </si>
  <si>
    <t xml:space="preserve"> </t>
  </si>
  <si>
    <t>Přechody pro chodce v ul. Čujkovova v Ostravě</t>
  </si>
  <si>
    <t>Rekonstrukce Sokolské třídy</t>
  </si>
  <si>
    <t>Nový příjezd k areálu Planetária Ostrava</t>
  </si>
  <si>
    <t>MOP   MHH</t>
  </si>
  <si>
    <t>Okružní křižovatka Výstavní - Zelená</t>
  </si>
  <si>
    <t>POR
SVI</t>
  </si>
  <si>
    <t>Propojení Francouzská-Rudná</t>
  </si>
  <si>
    <t>Rekonstrukce ul.Hájkova</t>
  </si>
  <si>
    <t>Rekonstrukce ul. Mánesova</t>
  </si>
  <si>
    <t>Křižovatka ul. Plzeňská - napojení areálu Střelnice</t>
  </si>
  <si>
    <t>MO</t>
  </si>
  <si>
    <t>Rekonstrukce vodovodu a kanalizace ul. Českobratrská a Sadová a Úprava povrchů ul. Českobratrská v úseku Nádražní-Sokolská třída</t>
  </si>
  <si>
    <t>Úprava přechodu na silnici I/58 ul. Plzeňská</t>
  </si>
  <si>
    <t>Prodloužená Porážková IV. etapa (DÚR)</t>
  </si>
  <si>
    <t>Rekonstrukce a prodloužení ulice Thomayerova, Ostrava</t>
  </si>
  <si>
    <t>Přednádraží Ostrava-Přívoz, Prodloužená ul. Skladištní</t>
  </si>
  <si>
    <t>Propojovací větev mezi rampou ze sil. I/56 a ul. Paskovskou na MOK u Makra</t>
  </si>
  <si>
    <t>Rekonstrukce křižovatky ul. 28. října, sil. II/479 s MK ul. Železárenská a Sokola Tůmy</t>
  </si>
  <si>
    <t>Rekonstrukce lesní cesty v Bělském lese</t>
  </si>
  <si>
    <t>SSZ Studentská x Opavská</t>
  </si>
  <si>
    <t>SSZ Dr. Slabihoudka x 17. listopadu</t>
  </si>
  <si>
    <t>Komunikace - Severní spoj (DÚR)</t>
  </si>
  <si>
    <t>Zastávka MHD Kotva na ul. Výškovická</t>
  </si>
  <si>
    <t>SSZ K 3030 Výškovická x Pavlovova</t>
  </si>
  <si>
    <t>SSZ K 1021 Sokolská x Českobratrská</t>
  </si>
  <si>
    <t>Přednádraží Ostrava-Přívoz, Terminál Jirská</t>
  </si>
  <si>
    <t xml:space="preserve">MÚK Místecká - Moravská </t>
  </si>
  <si>
    <t>Rozšíření útulku pro psy v Třebovicích</t>
  </si>
  <si>
    <t>Fond pro rozvoj Městské nemocnice Ostrava</t>
  </si>
  <si>
    <t>Jiné spolifinancování</t>
  </si>
  <si>
    <t>Předpokládaný přebytek 2018</t>
  </si>
  <si>
    <t>Nedočerpané prostředky r.2018</t>
  </si>
  <si>
    <t>- nedočerpané prostředky odboru investičního (ORJ 230)</t>
  </si>
  <si>
    <t>- nedočerpané prostředky odboru  ochrany životního prostředí ( ORJ 190, § 3745)</t>
  </si>
  <si>
    <t>- nedočerpané prostředky odboru školství a sportu (ORJ 161, § 3412)</t>
  </si>
  <si>
    <t>- nedočerpané prostředky odboru hospodářské správy (ORJ 130, § 5311, § 6171)</t>
  </si>
  <si>
    <t>- nedočerpané prostředky odboru majetkového (ORJ 137, § 3639)</t>
  </si>
  <si>
    <t>- nedočerpané prostředky odboru školství a sportu  (ORJ 140, § 3233)</t>
  </si>
  <si>
    <t>- nedočerpané prostředky  útvar hlavního architekta a tavebního řádu (ORJ 210, § 3312)</t>
  </si>
  <si>
    <t>- nedočerpané prostředky odboru kultury a volnočasových aktivit  - Fond pro koncertní halu (ORJ 160, § 3312)</t>
  </si>
  <si>
    <t xml:space="preserve">- nedočerpané prostředky odboru sociální věcí a zdravotnictví - Fond pro rozvoj Městské nemocnice Ostrava (ORJ 170, § 3599) </t>
  </si>
  <si>
    <t xml:space="preserve">- nedočerpané odboru investičního - Fond pro rozvoj Městské nemocnice Ostrava (ORJ 230, § 3522, § 3524) </t>
  </si>
  <si>
    <t>ORJ 120 - Odbor financí a rozpočtu</t>
  </si>
  <si>
    <t>MMO - odbor dopravy - Silnice II/478 prodloužená Mostní I. etapa (dotace SMO MSK)</t>
  </si>
  <si>
    <t>MMO - odbor dopravy - MÚK Bazaly - II. Etapa (dotace SMO MSK)</t>
  </si>
  <si>
    <t xml:space="preserve">MMO - odbor financí a rozpočtu - Rezerva - Výkupy pozemků dle potřeb SMO </t>
  </si>
  <si>
    <t>- rezerva   - Výkupy pozemků dle potřeb SMO  (ORJ 120, § 3639)</t>
  </si>
  <si>
    <t>Přloha č. 8</t>
  </si>
  <si>
    <t>MMO - odbor sociálních věcí a zdravotnictví - Transformace pobytových služeb Čtyřlístek I. etapa</t>
  </si>
  <si>
    <t>MMO - odbor sociálních věcí a zdravotnictví - Transformace pobytových služeb Čtyřlístek 2b.etapa</t>
  </si>
  <si>
    <t>MMO - odbor sociálních věcí a zdravotnictví - Městská nemocnice - ostatní projekty</t>
  </si>
  <si>
    <t>Fond pro vodovody (§2310)</t>
  </si>
  <si>
    <t>Fond pro kanalizace (§2321)</t>
  </si>
  <si>
    <t>PŘÍLOHA B - Fond pro vodovody    §  2310</t>
  </si>
  <si>
    <t>PŘÍLOHA C - Fond pro kanalizace    §  2321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</si>
</sst>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2" x14ac:knownFonts="1">
    <font>
      <sz val="10"/>
      <name val="Arial"/>
      <family val="2"/>
    </font>
    <font>
      <sz val="10"/>
      <name val="Arial"/>
      <family val="2"/>
    </font>
    <font>
      <b/>
      <sz val="20"/>
      <name val="Arial CE"/>
      <family val="2"/>
    </font>
    <font>
      <b/>
      <sz val="2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Arial"/>
      <family val="2"/>
      <charset val="238"/>
    </font>
    <font>
      <b/>
      <sz val="13"/>
      <name val="Arial CE"/>
      <family val="2"/>
    </font>
    <font>
      <b/>
      <sz val="14"/>
      <name val="Arial CE"/>
      <family val="2"/>
    </font>
    <font>
      <sz val="9"/>
      <name val="Arial CE"/>
      <family val="2"/>
    </font>
    <font>
      <b/>
      <sz val="9"/>
      <name val="Arial CE"/>
      <family val="2"/>
    </font>
    <font>
      <b/>
      <sz val="10"/>
      <name val="Arial CE"/>
      <family val="2"/>
    </font>
    <font>
      <b/>
      <sz val="11"/>
      <name val="Arial CE"/>
      <family val="2"/>
    </font>
    <font>
      <b/>
      <sz val="7"/>
      <name val="Arial CE"/>
      <family val="2"/>
    </font>
    <font>
      <sz val="8"/>
      <name val="Arial CE"/>
      <family val="2"/>
    </font>
    <font>
      <b/>
      <sz val="8"/>
      <name val="Arial CE"/>
      <family val="2"/>
    </font>
    <font>
      <sz val="9"/>
      <name val="Arial"/>
      <family val="2"/>
    </font>
    <font>
      <sz val="13"/>
      <name val="Arial CE"/>
      <family val="2"/>
    </font>
    <font>
      <b/>
      <sz val="13"/>
      <name val="Arial CE"/>
      <charset val="238"/>
    </font>
    <font>
      <sz val="11"/>
      <name val="Arial"/>
      <family val="2"/>
      <charset val="238"/>
    </font>
    <font>
      <sz val="13"/>
      <name val="Arial CE"/>
      <charset val="238"/>
    </font>
    <font>
      <sz val="10"/>
      <name val="Arial"/>
      <family val="2"/>
      <charset val="238"/>
    </font>
    <font>
      <sz val="10"/>
      <name val="Arial CE"/>
      <family val="2"/>
    </font>
    <font>
      <sz val="11"/>
      <name val="Arial CE"/>
      <family val="2"/>
    </font>
    <font>
      <sz val="13"/>
      <name val="Arial"/>
      <family val="2"/>
      <charset val="238"/>
    </font>
    <font>
      <b/>
      <sz val="12"/>
      <name val="Arial CE"/>
      <charset val="238"/>
    </font>
    <font>
      <sz val="14"/>
      <name val="Arial CE"/>
      <charset val="238"/>
    </font>
    <font>
      <b/>
      <sz val="9"/>
      <name val="Arial"/>
      <family val="2"/>
      <charset val="238"/>
    </font>
    <font>
      <b/>
      <sz val="24"/>
      <name val="Arial CE"/>
      <charset val="238"/>
    </font>
    <font>
      <b/>
      <sz val="28"/>
      <name val="Arial CE"/>
      <charset val="238"/>
    </font>
    <font>
      <sz val="24"/>
      <name val="Arial CE"/>
      <charset val="238"/>
    </font>
    <font>
      <u/>
      <sz val="24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1"/>
      <name val="Arial CE"/>
      <family val="2"/>
      <charset val="238"/>
    </font>
    <font>
      <b/>
      <sz val="11"/>
      <name val="Arial CE"/>
      <charset val="238"/>
    </font>
    <font>
      <b/>
      <sz val="9"/>
      <name val="Arial CE"/>
      <family val="2"/>
      <charset val="238"/>
    </font>
    <font>
      <b/>
      <sz val="7"/>
      <name val="Arial CE"/>
      <family val="2"/>
      <charset val="238"/>
    </font>
    <font>
      <b/>
      <sz val="10"/>
      <name val="Arial CE"/>
      <charset val="238"/>
    </font>
    <font>
      <sz val="8"/>
      <name val="Arial CE"/>
      <family val="2"/>
      <charset val="238"/>
    </font>
    <font>
      <b/>
      <sz val="10"/>
      <name val="Arial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indexed="8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4"/>
      <name val="Arial"/>
      <family val="2"/>
    </font>
    <font>
      <b/>
      <sz val="16"/>
      <name val="Arial CE"/>
      <charset val="238"/>
    </font>
    <font>
      <sz val="12"/>
      <color rgb="FFFF0000"/>
      <name val="Arial"/>
      <family val="2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2"/>
      <name val="Arial"/>
      <family val="2"/>
      <charset val="238"/>
    </font>
    <font>
      <b/>
      <sz val="20"/>
      <name val="Arial"/>
      <family val="2"/>
      <charset val="238"/>
    </font>
    <font>
      <b/>
      <sz val="24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3"/>
      <name val="Arial"/>
      <family val="2"/>
      <charset val="238"/>
    </font>
    <font>
      <strike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name val="Arial"/>
      <family val="2"/>
      <charset val="238"/>
    </font>
    <font>
      <sz val="11"/>
      <color indexed="16"/>
      <name val="Arial"/>
      <family val="2"/>
      <charset val="238"/>
    </font>
    <font>
      <sz val="12"/>
      <color rgb="FF00B0F0"/>
      <name val="Arial"/>
      <family val="2"/>
      <charset val="238"/>
    </font>
    <font>
      <sz val="11"/>
      <color indexed="62"/>
      <name val="Arial"/>
      <family val="2"/>
      <charset val="238"/>
    </font>
    <font>
      <sz val="10"/>
      <color indexed="6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3"/>
      <color indexed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rgb="FF00B0F0"/>
      <name val="Arial"/>
      <family val="2"/>
      <charset val="238"/>
    </font>
    <font>
      <b/>
      <sz val="18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13"/>
      </patternFill>
    </fill>
    <fill>
      <patternFill patternType="solid">
        <fgColor indexed="50"/>
        <bgColor indexed="51"/>
      </patternFill>
    </fill>
    <fill>
      <patternFill patternType="solid">
        <fgColor indexed="27"/>
        <bgColor indexed="41"/>
      </patternFill>
    </fill>
    <fill>
      <patternFill patternType="solid">
        <fgColor theme="0"/>
        <bgColor indexed="31"/>
      </patternFill>
    </fill>
    <fill>
      <patternFill patternType="solid">
        <fgColor indexed="4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indexed="14"/>
        <bgColor indexed="33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13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37"/>
      </patternFill>
    </fill>
    <fill>
      <patternFill patternType="solid">
        <fgColor indexed="14"/>
        <bgColor indexed="64"/>
      </patternFill>
    </fill>
    <fill>
      <patternFill patternType="solid">
        <fgColor indexed="14"/>
        <bgColor indexed="41"/>
      </patternFill>
    </fill>
    <fill>
      <patternFill patternType="solid">
        <fgColor indexed="9"/>
        <bgColor indexed="41"/>
      </patternFill>
    </fill>
    <fill>
      <patternFill patternType="solid">
        <fgColor indexed="9"/>
        <bgColor indexed="31"/>
      </patternFill>
    </fill>
    <fill>
      <patternFill patternType="solid">
        <fgColor indexed="51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5" tint="0.79998168889431442"/>
        <bgColor indexed="64"/>
      </patternFill>
    </fill>
  </fills>
  <borders count="30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37"/>
      </right>
      <top/>
      <bottom style="thin">
        <color indexed="8"/>
      </bottom>
      <diagonal/>
    </border>
    <border>
      <left style="hair">
        <color indexed="37"/>
      </left>
      <right/>
      <top/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37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hair">
        <color indexed="64"/>
      </left>
      <right style="hair">
        <color indexed="16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37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37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hair">
        <color indexed="16"/>
      </left>
      <right/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hair">
        <color indexed="37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37"/>
      </right>
      <top style="medium">
        <color indexed="8"/>
      </top>
      <bottom style="hair">
        <color indexed="8"/>
      </bottom>
      <diagonal/>
    </border>
    <border>
      <left style="hair">
        <color indexed="37"/>
      </left>
      <right/>
      <top style="medium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37"/>
      </right>
      <top style="hair">
        <color indexed="8"/>
      </top>
      <bottom/>
      <diagonal/>
    </border>
    <border>
      <left style="hair">
        <color indexed="37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 style="thin">
        <color indexed="64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16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16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hair">
        <color indexed="16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hair">
        <color indexed="16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thin">
        <color indexed="64"/>
      </top>
      <bottom style="thin">
        <color indexed="64"/>
      </bottom>
      <diagonal/>
    </border>
    <border>
      <left style="hair">
        <color indexed="16"/>
      </left>
      <right style="hair">
        <color indexed="16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16"/>
      </top>
      <bottom style="thin">
        <color indexed="64"/>
      </bottom>
      <diagonal/>
    </border>
    <border>
      <left style="hair">
        <color indexed="16"/>
      </left>
      <right/>
      <top/>
      <bottom style="hair">
        <color indexed="16"/>
      </bottom>
      <diagonal/>
    </border>
    <border>
      <left style="thin">
        <color indexed="64"/>
      </left>
      <right style="hair">
        <color indexed="16"/>
      </right>
      <top/>
      <bottom style="hair">
        <color indexed="16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hair">
        <color indexed="16"/>
      </left>
      <right/>
      <top style="thin">
        <color indexed="64"/>
      </top>
      <bottom style="hair">
        <color indexed="16"/>
      </bottom>
      <diagonal/>
    </border>
    <border>
      <left style="thin">
        <color indexed="64"/>
      </left>
      <right style="hair">
        <color indexed="16"/>
      </right>
      <top style="thin">
        <color indexed="64"/>
      </top>
      <bottom style="hair">
        <color indexed="16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hair">
        <color indexed="16"/>
      </left>
      <right/>
      <top/>
      <bottom/>
      <diagonal/>
    </border>
    <border>
      <left style="thin">
        <color indexed="64"/>
      </left>
      <right style="hair">
        <color indexed="16"/>
      </right>
      <top/>
      <bottom/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16"/>
      </left>
      <right style="hair">
        <color indexed="16"/>
      </right>
      <top/>
      <bottom style="hair">
        <color indexed="16"/>
      </bottom>
      <diagonal/>
    </border>
    <border>
      <left style="hair">
        <color indexed="8"/>
      </left>
      <right style="hair">
        <color indexed="37"/>
      </right>
      <top/>
      <bottom style="hair">
        <color indexed="8"/>
      </bottom>
      <diagonal/>
    </border>
    <border>
      <left style="hair">
        <color indexed="37"/>
      </left>
      <right/>
      <top/>
      <bottom style="hair">
        <color indexed="8"/>
      </bottom>
      <diagonal/>
    </border>
    <border>
      <left style="hair">
        <color indexed="8"/>
      </left>
      <right style="hair">
        <color indexed="37"/>
      </right>
      <top style="hair">
        <color indexed="8"/>
      </top>
      <bottom style="medium">
        <color indexed="64"/>
      </bottom>
      <diagonal/>
    </border>
    <border>
      <left style="hair">
        <color indexed="37"/>
      </left>
      <right/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hair">
        <color indexed="16"/>
      </right>
      <top/>
      <bottom style="hair">
        <color indexed="8"/>
      </bottom>
      <diagonal/>
    </border>
    <border>
      <left style="hair">
        <color indexed="16"/>
      </left>
      <right/>
      <top/>
      <bottom style="hair">
        <color indexed="8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hair">
        <color indexed="16"/>
      </right>
      <top style="medium">
        <color indexed="64"/>
      </top>
      <bottom style="hair">
        <color indexed="16"/>
      </bottom>
      <diagonal/>
    </border>
    <border>
      <left style="hair">
        <color indexed="16"/>
      </left>
      <right/>
      <top style="medium">
        <color indexed="64"/>
      </top>
      <bottom style="hair">
        <color indexed="16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</borders>
  <cellStyleXfs count="7">
    <xf numFmtId="0" fontId="0" fillId="0" borderId="0"/>
    <xf numFmtId="0" fontId="25" fillId="0" borderId="0"/>
    <xf numFmtId="0" fontId="1" fillId="0" borderId="0"/>
    <xf numFmtId="0" fontId="24" fillId="0" borderId="0"/>
    <xf numFmtId="0" fontId="25" fillId="0" borderId="0"/>
    <xf numFmtId="0" fontId="24" fillId="0" borderId="0"/>
    <xf numFmtId="0" fontId="1" fillId="0" borderId="0"/>
  </cellStyleXfs>
  <cellXfs count="1544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Fill="1" applyAlignment="1">
      <alignment horizontal="center" wrapText="1"/>
    </xf>
    <xf numFmtId="3" fontId="3" fillId="0" borderId="0" xfId="0" applyNumberFormat="1" applyFont="1" applyFill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8" fillId="2" borderId="1" xfId="0" applyFont="1" applyFill="1" applyBorder="1"/>
    <xf numFmtId="0" fontId="7" fillId="0" borderId="0" xfId="0" applyFont="1" applyFill="1" applyBorder="1"/>
    <xf numFmtId="0" fontId="6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3" fontId="9" fillId="0" borderId="0" xfId="0" applyNumberFormat="1" applyFont="1" applyFill="1" applyBorder="1"/>
    <xf numFmtId="0" fontId="4" fillId="0" borderId="0" xfId="0" applyFont="1" applyFill="1" applyBorder="1"/>
    <xf numFmtId="3" fontId="4" fillId="0" borderId="0" xfId="0" applyNumberFormat="1" applyFont="1" applyFill="1" applyBorder="1"/>
    <xf numFmtId="3" fontId="4" fillId="0" borderId="0" xfId="0" applyNumberFormat="1" applyFont="1"/>
    <xf numFmtId="3" fontId="0" fillId="0" borderId="0" xfId="0" applyNumberFormat="1" applyFont="1" applyAlignment="1">
      <alignment horizontal="right"/>
    </xf>
    <xf numFmtId="0" fontId="12" fillId="0" borderId="10" xfId="0" applyFont="1" applyFill="1" applyBorder="1" applyAlignment="1">
      <alignment horizontal="center" vertical="center"/>
    </xf>
    <xf numFmtId="0" fontId="12" fillId="5" borderId="11" xfId="0" applyFont="1" applyFill="1" applyBorder="1" applyAlignment="1">
      <alignment horizontal="center" vertical="center"/>
    </xf>
    <xf numFmtId="3" fontId="10" fillId="2" borderId="33" xfId="0" applyNumberFormat="1" applyFont="1" applyFill="1" applyBorder="1" applyAlignment="1"/>
    <xf numFmtId="0" fontId="24" fillId="0" borderId="46" xfId="0" applyFont="1" applyBorder="1"/>
    <xf numFmtId="0" fontId="0" fillId="0" borderId="54" xfId="0" applyFont="1" applyBorder="1"/>
    <xf numFmtId="0" fontId="24" fillId="0" borderId="0" xfId="0" applyFont="1" applyBorder="1"/>
    <xf numFmtId="0" fontId="24" fillId="0" borderId="54" xfId="0" applyFont="1" applyBorder="1"/>
    <xf numFmtId="0" fontId="0" fillId="0" borderId="0" xfId="0" applyFill="1" applyBorder="1"/>
    <xf numFmtId="0" fontId="0" fillId="0" borderId="0" xfId="0" applyFont="1" applyBorder="1"/>
    <xf numFmtId="0" fontId="0" fillId="0" borderId="4" xfId="0" applyFont="1" applyBorder="1"/>
    <xf numFmtId="3" fontId="27" fillId="0" borderId="0" xfId="0" applyNumberFormat="1" applyFont="1" applyFill="1" applyBorder="1" applyAlignment="1"/>
    <xf numFmtId="0" fontId="24" fillId="0" borderId="45" xfId="0" applyFont="1" applyBorder="1"/>
    <xf numFmtId="0" fontId="24" fillId="0" borderId="0" xfId="0" applyFont="1" applyFill="1" applyBorder="1"/>
    <xf numFmtId="0" fontId="0" fillId="0" borderId="0" xfId="0" applyFill="1"/>
    <xf numFmtId="0" fontId="24" fillId="0" borderId="46" xfId="0" applyFont="1" applyFill="1" applyBorder="1"/>
    <xf numFmtId="3" fontId="10" fillId="15" borderId="116" xfId="0" applyNumberFormat="1" applyFont="1" applyFill="1" applyBorder="1" applyAlignment="1"/>
    <xf numFmtId="3" fontId="10" fillId="2" borderId="138" xfId="0" applyNumberFormat="1" applyFont="1" applyFill="1" applyBorder="1" applyAlignment="1"/>
    <xf numFmtId="3" fontId="10" fillId="15" borderId="138" xfId="0" applyNumberFormat="1" applyFont="1" applyFill="1" applyBorder="1" applyAlignment="1"/>
    <xf numFmtId="3" fontId="10" fillId="15" borderId="139" xfId="0" applyNumberFormat="1" applyFont="1" applyFill="1" applyBorder="1" applyAlignment="1"/>
    <xf numFmtId="0" fontId="24" fillId="0" borderId="2" xfId="0" applyFont="1" applyBorder="1"/>
    <xf numFmtId="0" fontId="36" fillId="0" borderId="75" xfId="0" applyFont="1" applyFill="1" applyBorder="1" applyAlignment="1">
      <alignment horizontal="center" vertical="center"/>
    </xf>
    <xf numFmtId="0" fontId="44" fillId="17" borderId="138" xfId="0" applyFont="1" applyFill="1" applyBorder="1" applyAlignment="1">
      <alignment horizontal="center" vertical="center" wrapText="1"/>
    </xf>
    <xf numFmtId="0" fontId="45" fillId="0" borderId="90" xfId="0" applyFont="1" applyFill="1" applyBorder="1" applyAlignment="1">
      <alignment horizontal="center" vertical="center" wrapText="1"/>
    </xf>
    <xf numFmtId="0" fontId="45" fillId="0" borderId="150" xfId="0" applyFont="1" applyFill="1" applyBorder="1" applyAlignment="1">
      <alignment horizontal="center" vertical="center" wrapText="1"/>
    </xf>
    <xf numFmtId="0" fontId="39" fillId="17" borderId="138" xfId="0" applyFont="1" applyFill="1" applyBorder="1" applyAlignment="1">
      <alignment horizontal="center" vertical="center" wrapText="1"/>
    </xf>
    <xf numFmtId="3" fontId="47" fillId="0" borderId="0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3" fontId="21" fillId="18" borderId="0" xfId="0" applyNumberFormat="1" applyFont="1" applyFill="1" applyBorder="1" applyAlignment="1">
      <alignment horizontal="center"/>
    </xf>
    <xf numFmtId="0" fontId="21" fillId="18" borderId="0" xfId="0" applyFont="1" applyFill="1" applyBorder="1" applyAlignment="1">
      <alignment horizontal="center"/>
    </xf>
    <xf numFmtId="0" fontId="23" fillId="0" borderId="0" xfId="0" applyFont="1"/>
    <xf numFmtId="3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48" fillId="0" borderId="101" xfId="0" applyFont="1" applyFill="1" applyBorder="1" applyAlignment="1">
      <alignment wrapText="1"/>
    </xf>
    <xf numFmtId="0" fontId="48" fillId="0" borderId="61" xfId="0" applyFont="1" applyFill="1" applyBorder="1" applyAlignment="1">
      <alignment wrapText="1"/>
    </xf>
    <xf numFmtId="0" fontId="48" fillId="0" borderId="130" xfId="0" applyFont="1" applyFill="1" applyBorder="1" applyAlignment="1">
      <alignment wrapText="1"/>
    </xf>
    <xf numFmtId="0" fontId="48" fillId="0" borderId="40" xfId="0" applyFont="1" applyFill="1" applyBorder="1" applyAlignment="1">
      <alignment wrapText="1"/>
    </xf>
    <xf numFmtId="0" fontId="48" fillId="0" borderId="111" xfId="0" applyFont="1" applyFill="1" applyBorder="1" applyAlignment="1">
      <alignment wrapText="1"/>
    </xf>
    <xf numFmtId="0" fontId="48" fillId="0" borderId="151" xfId="0" applyFont="1" applyFill="1" applyBorder="1" applyAlignment="1">
      <alignment wrapText="1"/>
    </xf>
    <xf numFmtId="3" fontId="46" fillId="0" borderId="61" xfId="0" applyNumberFormat="1" applyFont="1" applyFill="1" applyBorder="1"/>
    <xf numFmtId="3" fontId="46" fillId="13" borderId="61" xfId="0" applyNumberFormat="1" applyFont="1" applyFill="1" applyBorder="1"/>
    <xf numFmtId="3" fontId="50" fillId="0" borderId="37" xfId="0" applyNumberFormat="1" applyFont="1" applyFill="1" applyBorder="1"/>
    <xf numFmtId="3" fontId="50" fillId="0" borderId="68" xfId="0" applyNumberFormat="1" applyFont="1" applyFill="1" applyBorder="1"/>
    <xf numFmtId="3" fontId="50" fillId="17" borderId="61" xfId="0" applyNumberFormat="1" applyFont="1" applyFill="1" applyBorder="1"/>
    <xf numFmtId="3" fontId="49" fillId="11" borderId="100" xfId="0" applyNumberFormat="1" applyFont="1" applyFill="1" applyBorder="1" applyAlignment="1">
      <alignment vertical="center"/>
    </xf>
    <xf numFmtId="3" fontId="49" fillId="11" borderId="27" xfId="0" applyNumberFormat="1" applyFont="1" applyFill="1" applyBorder="1" applyAlignment="1">
      <alignment vertical="center"/>
    </xf>
    <xf numFmtId="0" fontId="49" fillId="11" borderId="100" xfId="0" applyFont="1" applyFill="1" applyBorder="1" applyAlignment="1">
      <alignment horizontal="center" vertical="center"/>
    </xf>
    <xf numFmtId="3" fontId="51" fillId="0" borderId="38" xfId="0" applyNumberFormat="1" applyFont="1" applyFill="1" applyBorder="1"/>
    <xf numFmtId="3" fontId="51" fillId="0" borderId="40" xfId="0" applyNumberFormat="1" applyFont="1" applyFill="1" applyBorder="1"/>
    <xf numFmtId="3" fontId="21" fillId="0" borderId="0" xfId="0" applyNumberFormat="1" applyFont="1" applyFill="1" applyBorder="1"/>
    <xf numFmtId="3" fontId="35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51" fillId="0" borderId="0" xfId="0" applyFont="1" applyFill="1" applyBorder="1"/>
    <xf numFmtId="3" fontId="51" fillId="0" borderId="0" xfId="0" applyNumberFormat="1" applyFont="1" applyFill="1" applyBorder="1"/>
    <xf numFmtId="3" fontId="24" fillId="0" borderId="0" xfId="0" applyNumberFormat="1" applyFont="1" applyFill="1" applyBorder="1" applyAlignment="1">
      <alignment horizontal="right"/>
    </xf>
    <xf numFmtId="3" fontId="20" fillId="0" borderId="159" xfId="0" applyNumberFormat="1" applyFont="1" applyFill="1" applyBorder="1" applyAlignment="1"/>
    <xf numFmtId="3" fontId="20" fillId="5" borderId="159" xfId="0" applyNumberFormat="1" applyFont="1" applyFill="1" applyBorder="1" applyAlignment="1"/>
    <xf numFmtId="3" fontId="20" fillId="0" borderId="126" xfId="0" applyNumberFormat="1" applyFont="1" applyFill="1" applyBorder="1" applyAlignment="1"/>
    <xf numFmtId="3" fontId="20" fillId="0" borderId="18" xfId="0" applyNumberFormat="1" applyFont="1" applyFill="1" applyBorder="1" applyAlignment="1"/>
    <xf numFmtId="0" fontId="19" fillId="0" borderId="126" xfId="0" applyFont="1" applyFill="1" applyBorder="1" applyAlignment="1">
      <alignment horizontal="center"/>
    </xf>
    <xf numFmtId="0" fontId="19" fillId="0" borderId="25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41" xfId="0" applyFont="1" applyFill="1" applyBorder="1" applyAlignment="1">
      <alignment horizontal="center"/>
    </xf>
    <xf numFmtId="3" fontId="20" fillId="5" borderId="126" xfId="0" applyNumberFormat="1" applyFont="1" applyFill="1" applyBorder="1" applyAlignment="1"/>
    <xf numFmtId="3" fontId="21" fillId="5" borderId="17" xfId="0" applyNumberFormat="1" applyFont="1" applyFill="1" applyBorder="1" applyAlignment="1"/>
    <xf numFmtId="3" fontId="20" fillId="0" borderId="17" xfId="0" applyNumberFormat="1" applyFont="1" applyFill="1" applyBorder="1" applyAlignment="1"/>
    <xf numFmtId="3" fontId="20" fillId="6" borderId="126" xfId="0" applyNumberFormat="1" applyFont="1" applyFill="1" applyBorder="1" applyAlignment="1"/>
    <xf numFmtId="0" fontId="12" fillId="0" borderId="17" xfId="0" applyFont="1" applyFill="1" applyBorder="1" applyAlignment="1">
      <alignment horizontal="center"/>
    </xf>
    <xf numFmtId="0" fontId="12" fillId="0" borderId="18" xfId="0" applyFont="1" applyFill="1" applyBorder="1" applyAlignment="1">
      <alignment horizontal="center"/>
    </xf>
    <xf numFmtId="0" fontId="0" fillId="0" borderId="0" xfId="0" applyFont="1"/>
    <xf numFmtId="0" fontId="11" fillId="0" borderId="0" xfId="0" applyFont="1" applyBorder="1" applyAlignment="1"/>
    <xf numFmtId="0" fontId="52" fillId="0" borderId="0" xfId="0" applyFont="1" applyBorder="1" applyAlignment="1"/>
    <xf numFmtId="3" fontId="13" fillId="0" borderId="0" xfId="0" applyNumberFormat="1" applyFont="1" applyFill="1" applyBorder="1" applyAlignment="1">
      <alignment horizontal="right"/>
    </xf>
    <xf numFmtId="0" fontId="8" fillId="0" borderId="0" xfId="0" applyFont="1"/>
    <xf numFmtId="3" fontId="35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9" fillId="0" borderId="0" xfId="0" applyFont="1" applyFill="1" applyBorder="1" applyAlignment="1"/>
    <xf numFmtId="3" fontId="35" fillId="0" borderId="0" xfId="0" applyNumberFormat="1" applyFont="1" applyFill="1" applyBorder="1" applyAlignment="1"/>
    <xf numFmtId="3" fontId="28" fillId="0" borderId="0" xfId="0" applyNumberFormat="1" applyFont="1" applyFill="1" applyBorder="1" applyAlignment="1"/>
    <xf numFmtId="0" fontId="51" fillId="0" borderId="0" xfId="0" applyFont="1" applyFill="1" applyBorder="1" applyAlignment="1"/>
    <xf numFmtId="3" fontId="20" fillId="0" borderId="19" xfId="0" applyNumberFormat="1" applyFont="1" applyFill="1" applyBorder="1" applyAlignment="1"/>
    <xf numFmtId="3" fontId="20" fillId="0" borderId="178" xfId="0" applyNumberFormat="1" applyFont="1" applyFill="1" applyBorder="1" applyAlignment="1"/>
    <xf numFmtId="3" fontId="10" fillId="14" borderId="138" xfId="0" applyNumberFormat="1" applyFont="1" applyFill="1" applyBorder="1" applyAlignment="1"/>
    <xf numFmtId="3" fontId="10" fillId="14" borderId="139" xfId="0" applyNumberFormat="1" applyFont="1" applyFill="1" applyBorder="1" applyAlignment="1"/>
    <xf numFmtId="0" fontId="22" fillId="0" borderId="4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55" fillId="20" borderId="41" xfId="0" applyFont="1" applyFill="1" applyBorder="1"/>
    <xf numFmtId="0" fontId="56" fillId="20" borderId="36" xfId="0" applyFont="1" applyFill="1" applyBorder="1"/>
    <xf numFmtId="0" fontId="56" fillId="0" borderId="13" xfId="0" applyFont="1" applyFill="1" applyBorder="1"/>
    <xf numFmtId="0" fontId="22" fillId="0" borderId="40" xfId="0" applyFont="1" applyFill="1" applyBorder="1"/>
    <xf numFmtId="0" fontId="24" fillId="0" borderId="42" xfId="0" applyFont="1" applyFill="1" applyBorder="1" applyAlignment="1">
      <alignment horizontal="left" wrapText="1"/>
    </xf>
    <xf numFmtId="0" fontId="56" fillId="0" borderId="36" xfId="0" applyFont="1" applyBorder="1" applyAlignment="1" applyProtection="1">
      <alignment horizontal="center"/>
      <protection locked="0"/>
    </xf>
    <xf numFmtId="0" fontId="56" fillId="0" borderId="2" xfId="0" applyFont="1" applyBorder="1" applyAlignment="1" applyProtection="1">
      <alignment horizontal="center"/>
      <protection locked="0"/>
    </xf>
    <xf numFmtId="0" fontId="56" fillId="0" borderId="37" xfId="0" applyFont="1" applyBorder="1" applyAlignment="1" applyProtection="1">
      <alignment horizontal="center"/>
      <protection locked="0"/>
    </xf>
    <xf numFmtId="3" fontId="27" fillId="0" borderId="40" xfId="0" applyNumberFormat="1" applyFont="1" applyFill="1" applyBorder="1" applyAlignment="1" applyProtection="1">
      <protection locked="0"/>
    </xf>
    <xf numFmtId="3" fontId="27" fillId="0" borderId="36" xfId="0" applyNumberFormat="1" applyFont="1" applyFill="1" applyBorder="1" applyAlignment="1" applyProtection="1">
      <protection locked="0"/>
    </xf>
    <xf numFmtId="3" fontId="27" fillId="0" borderId="68" xfId="0" applyNumberFormat="1" applyFont="1" applyFill="1" applyBorder="1" applyAlignment="1" applyProtection="1">
      <protection locked="0"/>
    </xf>
    <xf numFmtId="3" fontId="27" fillId="17" borderId="40" xfId="0" applyNumberFormat="1" applyFont="1" applyFill="1" applyBorder="1" applyAlignment="1" applyProtection="1">
      <protection locked="0"/>
    </xf>
    <xf numFmtId="3" fontId="27" fillId="17" borderId="36" xfId="0" applyNumberFormat="1" applyFont="1" applyFill="1" applyBorder="1" applyAlignment="1" applyProtection="1">
      <protection locked="0"/>
    </xf>
    <xf numFmtId="3" fontId="9" fillId="17" borderId="2" xfId="0" applyNumberFormat="1" applyFont="1" applyFill="1" applyBorder="1" applyAlignment="1"/>
    <xf numFmtId="3" fontId="27" fillId="0" borderId="2" xfId="0" applyNumberFormat="1" applyFont="1" applyFill="1" applyBorder="1" applyAlignment="1" applyProtection="1">
      <protection locked="0"/>
    </xf>
    <xf numFmtId="3" fontId="57" fillId="0" borderId="37" xfId="0" applyNumberFormat="1" applyFont="1" applyFill="1" applyBorder="1" applyAlignment="1"/>
    <xf numFmtId="3" fontId="57" fillId="10" borderId="41" xfId="0" applyNumberFormat="1" applyFont="1" applyFill="1" applyBorder="1" applyAlignment="1"/>
    <xf numFmtId="3" fontId="57" fillId="0" borderId="2" xfId="0" applyNumberFormat="1" applyFont="1" applyFill="1" applyBorder="1" applyAlignment="1"/>
    <xf numFmtId="3" fontId="57" fillId="0" borderId="68" xfId="0" applyNumberFormat="1" applyFont="1" applyFill="1" applyBorder="1" applyAlignment="1"/>
    <xf numFmtId="3" fontId="57" fillId="10" borderId="36" xfId="0" applyNumberFormat="1" applyFont="1" applyFill="1" applyBorder="1" applyAlignment="1"/>
    <xf numFmtId="0" fontId="24" fillId="0" borderId="0" xfId="0" applyFont="1"/>
    <xf numFmtId="0" fontId="55" fillId="20" borderId="58" xfId="0" applyFont="1" applyFill="1" applyBorder="1"/>
    <xf numFmtId="0" fontId="56" fillId="20" borderId="89" xfId="0" applyFont="1" applyFill="1" applyBorder="1"/>
    <xf numFmtId="0" fontId="56" fillId="0" borderId="19" xfId="0" applyFont="1" applyFill="1" applyBorder="1"/>
    <xf numFmtId="0" fontId="22" fillId="0" borderId="55" xfId="0" applyFont="1" applyFill="1" applyBorder="1"/>
    <xf numFmtId="0" fontId="24" fillId="0" borderId="55" xfId="0" applyFont="1" applyFill="1" applyBorder="1" applyAlignment="1">
      <alignment horizontal="left" wrapText="1"/>
    </xf>
    <xf numFmtId="0" fontId="56" fillId="12" borderId="129" xfId="2" applyFont="1" applyFill="1" applyBorder="1" applyAlignment="1">
      <alignment horizontal="center"/>
    </xf>
    <xf numFmtId="0" fontId="56" fillId="0" borderId="193" xfId="2" applyFont="1" applyBorder="1" applyAlignment="1">
      <alignment horizontal="center"/>
    </xf>
    <xf numFmtId="0" fontId="56" fillId="0" borderId="121" xfId="2" applyFont="1" applyBorder="1" applyAlignment="1">
      <alignment horizontal="center"/>
    </xf>
    <xf numFmtId="0" fontId="56" fillId="0" borderId="194" xfId="2" applyFont="1" applyBorder="1" applyAlignment="1">
      <alignment horizontal="center"/>
    </xf>
    <xf numFmtId="3" fontId="57" fillId="0" borderId="55" xfId="0" applyNumberFormat="1" applyFont="1" applyFill="1" applyBorder="1" applyAlignment="1"/>
    <xf numFmtId="3" fontId="57" fillId="0" borderId="89" xfId="0" applyNumberFormat="1" applyFont="1" applyFill="1" applyBorder="1" applyAlignment="1"/>
    <xf numFmtId="3" fontId="57" fillId="0" borderId="57" xfId="0" applyNumberFormat="1" applyFont="1" applyFill="1" applyBorder="1" applyAlignment="1"/>
    <xf numFmtId="3" fontId="57" fillId="17" borderId="55" xfId="0" applyNumberFormat="1" applyFont="1" applyFill="1" applyBorder="1" applyAlignment="1"/>
    <xf numFmtId="3" fontId="57" fillId="17" borderId="89" xfId="0" applyNumberFormat="1" applyFont="1" applyFill="1" applyBorder="1" applyAlignment="1"/>
    <xf numFmtId="3" fontId="9" fillId="17" borderId="59" xfId="0" applyNumberFormat="1" applyFont="1" applyFill="1" applyBorder="1" applyAlignment="1"/>
    <xf numFmtId="3" fontId="57" fillId="0" borderId="59" xfId="0" applyNumberFormat="1" applyFont="1" applyFill="1" applyBorder="1" applyAlignment="1"/>
    <xf numFmtId="3" fontId="57" fillId="10" borderId="58" xfId="0" applyNumberFormat="1" applyFont="1" applyFill="1" applyBorder="1" applyAlignment="1"/>
    <xf numFmtId="3" fontId="57" fillId="0" borderId="88" xfId="0" applyNumberFormat="1" applyFont="1" applyFill="1" applyBorder="1" applyAlignment="1"/>
    <xf numFmtId="3" fontId="57" fillId="10" borderId="89" xfId="0" applyNumberFormat="1" applyFont="1" applyFill="1" applyBorder="1" applyAlignment="1"/>
    <xf numFmtId="0" fontId="0" fillId="0" borderId="0" xfId="0" applyFill="1" applyAlignment="1">
      <alignment horizontal="center" vertical="center" wrapText="1"/>
    </xf>
    <xf numFmtId="0" fontId="0" fillId="18" borderId="0" xfId="0" applyFill="1" applyAlignment="1">
      <alignment horizontal="center" vertical="center" wrapText="1"/>
    </xf>
    <xf numFmtId="0" fontId="58" fillId="0" borderId="0" xfId="0" applyFont="1" applyFill="1" applyAlignment="1">
      <alignment horizontal="center" vertical="center" wrapText="1"/>
    </xf>
    <xf numFmtId="0" fontId="24" fillId="0" borderId="0" xfId="0" applyFont="1" applyFill="1" applyAlignment="1">
      <alignment horizontal="center" vertical="center" wrapText="1"/>
    </xf>
    <xf numFmtId="0" fontId="59" fillId="0" borderId="0" xfId="0" applyFont="1" applyFill="1" applyAlignment="1">
      <alignment horizontal="center" wrapText="1"/>
    </xf>
    <xf numFmtId="0" fontId="9" fillId="0" borderId="0" xfId="0" applyFont="1" applyAlignment="1" applyProtection="1">
      <alignment horizontal="right" wrapText="1"/>
      <protection locked="0"/>
    </xf>
    <xf numFmtId="0" fontId="9" fillId="0" borderId="0" xfId="0" applyFont="1" applyFill="1" applyAlignment="1" applyProtection="1">
      <alignment horizontal="right" wrapText="1"/>
      <protection locked="0"/>
    </xf>
    <xf numFmtId="0" fontId="9" fillId="2" borderId="1" xfId="0" applyFont="1" applyFill="1" applyBorder="1" applyAlignment="1" applyProtection="1">
      <alignment horizontal="right" wrapText="1"/>
      <protection locked="0"/>
    </xf>
    <xf numFmtId="0" fontId="60" fillId="0" borderId="0" xfId="0" applyFont="1" applyFill="1" applyBorder="1"/>
    <xf numFmtId="0" fontId="9" fillId="0" borderId="0" xfId="0" applyFont="1" applyFill="1" applyBorder="1" applyAlignment="1"/>
    <xf numFmtId="0" fontId="24" fillId="0" borderId="0" xfId="0" applyFont="1" applyFill="1"/>
    <xf numFmtId="0" fontId="57" fillId="3" borderId="1" xfId="0" applyFont="1" applyFill="1" applyBorder="1" applyAlignment="1" applyProtection="1">
      <alignment horizontal="left" vertical="center" wrapText="1"/>
      <protection locked="0"/>
    </xf>
    <xf numFmtId="0" fontId="55" fillId="12" borderId="0" xfId="0" applyFont="1" applyFill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/>
    </xf>
    <xf numFmtId="49" fontId="22" fillId="0" borderId="4" xfId="0" applyNumberFormat="1" applyFont="1" applyBorder="1" applyAlignment="1">
      <alignment horizontal="center"/>
    </xf>
    <xf numFmtId="0" fontId="55" fillId="12" borderId="4" xfId="0" applyFont="1" applyFill="1" applyBorder="1" applyAlignment="1">
      <alignment horizontal="center" vertical="center" wrapText="1"/>
    </xf>
    <xf numFmtId="0" fontId="56" fillId="0" borderId="148" xfId="0" applyFont="1" applyFill="1" applyBorder="1" applyAlignment="1">
      <alignment horizontal="center" vertical="center"/>
    </xf>
    <xf numFmtId="0" fontId="56" fillId="21" borderId="106" xfId="0" applyFont="1" applyFill="1" applyBorder="1" applyAlignment="1">
      <alignment horizontal="center" vertical="center"/>
    </xf>
    <xf numFmtId="0" fontId="30" fillId="6" borderId="110" xfId="0" applyFont="1" applyFill="1" applyBorder="1" applyAlignment="1">
      <alignment horizontal="center" vertical="center" wrapText="1"/>
    </xf>
    <xf numFmtId="0" fontId="63" fillId="0" borderId="3" xfId="0" applyFont="1" applyFill="1" applyBorder="1" applyAlignment="1">
      <alignment horizontal="center" vertical="center" wrapText="1"/>
    </xf>
    <xf numFmtId="0" fontId="60" fillId="0" borderId="0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64" fillId="12" borderId="164" xfId="0" applyFont="1" applyFill="1" applyBorder="1" applyAlignment="1">
      <alignment vertical="center"/>
    </xf>
    <xf numFmtId="0" fontId="56" fillId="12" borderId="157" xfId="0" applyFont="1" applyFill="1" applyBorder="1" applyAlignment="1">
      <alignment horizontal="center" textRotation="90" wrapText="1"/>
    </xf>
    <xf numFmtId="0" fontId="56" fillId="12" borderId="157" xfId="0" applyFont="1" applyFill="1" applyBorder="1" applyAlignment="1">
      <alignment horizontal="center" textRotation="90"/>
    </xf>
    <xf numFmtId="0" fontId="43" fillId="12" borderId="157" xfId="0" applyFont="1" applyFill="1" applyBorder="1" applyAlignment="1">
      <alignment horizontal="center" vertical="center" wrapText="1"/>
    </xf>
    <xf numFmtId="0" fontId="56" fillId="12" borderId="157" xfId="0" applyFont="1" applyFill="1" applyBorder="1" applyAlignment="1">
      <alignment horizontal="center" vertical="center" wrapText="1"/>
    </xf>
    <xf numFmtId="0" fontId="24" fillId="12" borderId="157" xfId="0" applyFont="1" applyFill="1" applyBorder="1" applyAlignment="1">
      <alignment horizontal="center" vertical="center"/>
    </xf>
    <xf numFmtId="0" fontId="30" fillId="12" borderId="157" xfId="0" applyFont="1" applyFill="1" applyBorder="1" applyAlignment="1">
      <alignment horizontal="center" vertical="center" wrapText="1"/>
    </xf>
    <xf numFmtId="0" fontId="24" fillId="12" borderId="157" xfId="0" applyFont="1" applyFill="1" applyBorder="1" applyAlignment="1">
      <alignment horizontal="center" vertical="center" wrapText="1"/>
    </xf>
    <xf numFmtId="0" fontId="30" fillId="12" borderId="164" xfId="0" applyFont="1" applyFill="1" applyBorder="1" applyAlignment="1">
      <alignment horizontal="center" vertical="center" wrapText="1"/>
    </xf>
    <xf numFmtId="0" fontId="63" fillId="12" borderId="164" xfId="0" applyFont="1" applyFill="1" applyBorder="1" applyAlignment="1">
      <alignment horizontal="center" vertical="center" wrapText="1"/>
    </xf>
    <xf numFmtId="0" fontId="60" fillId="12" borderId="164" xfId="0" applyFont="1" applyFill="1" applyBorder="1" applyAlignment="1">
      <alignment horizontal="center" vertical="center" wrapText="1"/>
    </xf>
    <xf numFmtId="0" fontId="63" fillId="12" borderId="157" xfId="0" applyFont="1" applyFill="1" applyBorder="1" applyAlignment="1">
      <alignment horizontal="center" vertical="center" wrapText="1"/>
    </xf>
    <xf numFmtId="0" fontId="60" fillId="12" borderId="157" xfId="0" applyFont="1" applyFill="1" applyBorder="1" applyAlignment="1">
      <alignment horizontal="center" vertical="center" wrapText="1"/>
    </xf>
    <xf numFmtId="0" fontId="56" fillId="7" borderId="195" xfId="0" applyFont="1" applyFill="1" applyBorder="1" applyAlignment="1">
      <alignment horizontal="center" vertical="center"/>
    </xf>
    <xf numFmtId="0" fontId="56" fillId="7" borderId="196" xfId="0" applyFont="1" applyFill="1" applyBorder="1" applyAlignment="1">
      <alignment horizontal="center" vertical="center"/>
    </xf>
    <xf numFmtId="0" fontId="22" fillId="3" borderId="92" xfId="0" applyFont="1" applyFill="1" applyBorder="1" applyAlignment="1" applyProtection="1">
      <alignment horizontal="center" wrapText="1"/>
      <protection locked="0"/>
    </xf>
    <xf numFmtId="0" fontId="24" fillId="3" borderId="197" xfId="0" applyFont="1" applyFill="1" applyBorder="1" applyAlignment="1" applyProtection="1">
      <alignment horizontal="left" wrapText="1"/>
      <protection locked="0"/>
    </xf>
    <xf numFmtId="0" fontId="56" fillId="0" borderId="21" xfId="0" applyFont="1" applyFill="1" applyBorder="1" applyAlignment="1"/>
    <xf numFmtId="0" fontId="56" fillId="0" borderId="1" xfId="0" applyFont="1" applyFill="1" applyBorder="1" applyAlignment="1"/>
    <xf numFmtId="0" fontId="56" fillId="0" borderId="141" xfId="0" applyFont="1" applyFill="1" applyBorder="1" applyAlignment="1"/>
    <xf numFmtId="3" fontId="27" fillId="0" borderId="14" xfId="0" applyNumberFormat="1" applyFont="1" applyFill="1" applyBorder="1" applyAlignment="1">
      <alignment horizontal="right"/>
    </xf>
    <xf numFmtId="3" fontId="27" fillId="0" borderId="156" xfId="0" applyNumberFormat="1" applyFont="1" applyFill="1" applyBorder="1" applyAlignment="1">
      <alignment horizontal="right"/>
    </xf>
    <xf numFmtId="3" fontId="27" fillId="0" borderId="22" xfId="0" applyNumberFormat="1" applyFont="1" applyFill="1" applyBorder="1" applyAlignment="1"/>
    <xf numFmtId="3" fontId="27" fillId="21" borderId="159" xfId="0" applyNumberFormat="1" applyFont="1" applyFill="1" applyBorder="1" applyAlignment="1"/>
    <xf numFmtId="3" fontId="27" fillId="21" borderId="156" xfId="0" applyNumberFormat="1" applyFont="1" applyFill="1" applyBorder="1" applyAlignment="1"/>
    <xf numFmtId="3" fontId="65" fillId="21" borderId="16" xfId="0" applyNumberFormat="1" applyFont="1" applyFill="1" applyBorder="1" applyAlignment="1"/>
    <xf numFmtId="3" fontId="27" fillId="0" borderId="16" xfId="0" applyNumberFormat="1" applyFont="1" applyFill="1" applyBorder="1" applyAlignment="1"/>
    <xf numFmtId="3" fontId="27" fillId="0" borderId="177" xfId="0" applyNumberFormat="1" applyFont="1" applyFill="1" applyBorder="1" applyAlignment="1"/>
    <xf numFmtId="3" fontId="27" fillId="6" borderId="6" xfId="0" applyNumberFormat="1" applyFont="1" applyFill="1" applyBorder="1" applyAlignment="1"/>
    <xf numFmtId="3" fontId="27" fillId="0" borderId="7" xfId="0" applyNumberFormat="1" applyFont="1" applyFill="1" applyBorder="1" applyAlignment="1"/>
    <xf numFmtId="3" fontId="27" fillId="0" borderId="93" xfId="0" applyNumberFormat="1" applyFont="1" applyFill="1" applyBorder="1" applyAlignment="1"/>
    <xf numFmtId="3" fontId="27" fillId="6" borderId="156" xfId="0" applyNumberFormat="1" applyFont="1" applyFill="1" applyBorder="1" applyAlignment="1"/>
    <xf numFmtId="3" fontId="27" fillId="0" borderId="22" xfId="0" applyNumberFormat="1" applyFont="1" applyFill="1" applyBorder="1" applyAlignment="1">
      <alignment vertical="center"/>
    </xf>
    <xf numFmtId="3" fontId="27" fillId="0" borderId="24" xfId="0" applyNumberFormat="1" applyFont="1" applyFill="1" applyBorder="1" applyAlignment="1">
      <alignment vertical="center"/>
    </xf>
    <xf numFmtId="0" fontId="24" fillId="0" borderId="4" xfId="0" applyFont="1" applyBorder="1"/>
    <xf numFmtId="0" fontId="56" fillId="7" borderId="158" xfId="0" applyFont="1" applyFill="1" applyBorder="1" applyAlignment="1">
      <alignment horizontal="center" vertical="center"/>
    </xf>
    <xf numFmtId="0" fontId="56" fillId="7" borderId="176" xfId="0" applyFont="1" applyFill="1" applyBorder="1" applyAlignment="1">
      <alignment horizontal="center" vertical="center"/>
    </xf>
    <xf numFmtId="0" fontId="22" fillId="3" borderId="131" xfId="0" applyFont="1" applyFill="1" applyBorder="1" applyAlignment="1" applyProtection="1">
      <alignment horizontal="center" wrapText="1"/>
      <protection locked="0"/>
    </xf>
    <xf numFmtId="0" fontId="24" fillId="3" borderId="54" xfId="0" applyFont="1" applyFill="1" applyBorder="1" applyAlignment="1" applyProtection="1">
      <alignment horizontal="left" wrapText="1"/>
      <protection locked="0"/>
    </xf>
    <xf numFmtId="0" fontId="56" fillId="0" borderId="142" xfId="0" applyFont="1" applyFill="1" applyBorder="1" applyAlignment="1"/>
    <xf numFmtId="3" fontId="27" fillId="0" borderId="159" xfId="0" applyNumberFormat="1" applyFont="1" applyFill="1" applyBorder="1" applyAlignment="1">
      <alignment horizontal="right"/>
    </xf>
    <xf numFmtId="3" fontId="27" fillId="0" borderId="25" xfId="0" applyNumberFormat="1" applyFont="1" applyFill="1" applyBorder="1" applyAlignment="1">
      <alignment horizontal="right"/>
    </xf>
    <xf numFmtId="3" fontId="27" fillId="0" borderId="141" xfId="0" applyNumberFormat="1" applyFont="1" applyFill="1" applyBorder="1" applyAlignment="1"/>
    <xf numFmtId="3" fontId="27" fillId="21" borderId="25" xfId="0" applyNumberFormat="1" applyFont="1" applyFill="1" applyBorder="1" applyAlignment="1"/>
    <xf numFmtId="3" fontId="65" fillId="21" borderId="1" xfId="0" applyNumberFormat="1" applyFont="1" applyFill="1" applyBorder="1" applyAlignment="1"/>
    <xf numFmtId="3" fontId="27" fillId="0" borderId="1" xfId="0" applyNumberFormat="1" applyFont="1" applyFill="1" applyBorder="1" applyAlignment="1"/>
    <xf numFmtId="3" fontId="27" fillId="0" borderId="13" xfId="0" applyNumberFormat="1" applyFont="1" applyFill="1" applyBorder="1" applyAlignment="1"/>
    <xf numFmtId="3" fontId="27" fillId="6" borderId="127" xfId="0" applyNumberFormat="1" applyFont="1" applyFill="1" applyBorder="1" applyAlignment="1"/>
    <xf numFmtId="3" fontId="27" fillId="0" borderId="84" xfId="0" applyNumberFormat="1" applyFont="1" applyFill="1" applyBorder="1" applyAlignment="1"/>
    <xf numFmtId="3" fontId="27" fillId="6" borderId="25" xfId="0" applyNumberFormat="1" applyFont="1" applyFill="1" applyBorder="1" applyAlignment="1"/>
    <xf numFmtId="3" fontId="27" fillId="0" borderId="141" xfId="0" applyNumberFormat="1" applyFont="1" applyFill="1" applyBorder="1" applyAlignment="1">
      <alignment vertical="center"/>
    </xf>
    <xf numFmtId="3" fontId="27" fillId="0" borderId="143" xfId="0" applyNumberFormat="1" applyFont="1" applyFill="1" applyBorder="1" applyAlignment="1">
      <alignment vertical="center"/>
    </xf>
    <xf numFmtId="0" fontId="22" fillId="18" borderId="95" xfId="4" applyFont="1" applyFill="1" applyBorder="1" applyAlignment="1">
      <alignment horizontal="center"/>
    </xf>
    <xf numFmtId="0" fontId="24" fillId="18" borderId="54" xfId="4" applyFont="1" applyFill="1" applyBorder="1" applyAlignment="1">
      <alignment horizontal="left"/>
    </xf>
    <xf numFmtId="0" fontId="56" fillId="0" borderId="198" xfId="0" applyFont="1" applyFill="1" applyBorder="1" applyAlignment="1"/>
    <xf numFmtId="0" fontId="56" fillId="0" borderId="17" xfId="0" applyFont="1" applyFill="1" applyBorder="1" applyAlignment="1"/>
    <xf numFmtId="0" fontId="56" fillId="0" borderId="18" xfId="0" applyFont="1" applyFill="1" applyBorder="1" applyAlignment="1"/>
    <xf numFmtId="0" fontId="22" fillId="0" borderId="55" xfId="0" applyFont="1" applyFill="1" applyBorder="1" applyAlignment="1">
      <alignment horizontal="center"/>
    </xf>
    <xf numFmtId="0" fontId="24" fillId="0" borderId="54" xfId="4" applyFont="1" applyFill="1" applyBorder="1" applyAlignment="1">
      <alignment horizontal="left"/>
    </xf>
    <xf numFmtId="0" fontId="19" fillId="7" borderId="160" xfId="0" applyFont="1" applyFill="1" applyBorder="1" applyAlignment="1">
      <alignment horizontal="center" vertical="center"/>
    </xf>
    <xf numFmtId="0" fontId="19" fillId="7" borderId="175" xfId="0" applyFont="1" applyFill="1" applyBorder="1" applyAlignment="1">
      <alignment horizontal="center" vertical="center"/>
    </xf>
    <xf numFmtId="0" fontId="26" fillId="11" borderId="131" xfId="4" applyFont="1" applyFill="1" applyBorder="1" applyAlignment="1">
      <alignment horizontal="left" wrapText="1"/>
    </xf>
    <xf numFmtId="3" fontId="23" fillId="6" borderId="126" xfId="0" applyNumberFormat="1" applyFont="1" applyFill="1" applyBorder="1" applyAlignment="1"/>
    <xf numFmtId="3" fontId="20" fillId="0" borderId="18" xfId="0" applyNumberFormat="1" applyFont="1" applyFill="1" applyBorder="1" applyAlignment="1">
      <alignment vertical="center"/>
    </xf>
    <xf numFmtId="3" fontId="20" fillId="0" borderId="161" xfId="0" applyNumberFormat="1" applyFont="1" applyFill="1" applyBorder="1" applyAlignment="1">
      <alignment vertical="center"/>
    </xf>
    <xf numFmtId="0" fontId="22" fillId="3" borderId="40" xfId="0" applyFont="1" applyFill="1" applyBorder="1" applyAlignment="1" applyProtection="1">
      <alignment horizontal="center" wrapText="1"/>
      <protection locked="0"/>
    </xf>
    <xf numFmtId="0" fontId="56" fillId="0" borderId="142" xfId="4" applyFont="1" applyFill="1" applyBorder="1" applyAlignment="1"/>
    <xf numFmtId="3" fontId="27" fillId="0" borderId="3" xfId="0" applyNumberFormat="1" applyFont="1" applyFill="1" applyBorder="1" applyAlignment="1"/>
    <xf numFmtId="3" fontId="27" fillId="0" borderId="49" xfId="0" applyNumberFormat="1" applyFont="1" applyFill="1" applyBorder="1" applyAlignment="1"/>
    <xf numFmtId="3" fontId="27" fillId="0" borderId="98" xfId="0" applyNumberFormat="1" applyFont="1" applyFill="1" applyBorder="1" applyAlignment="1"/>
    <xf numFmtId="3" fontId="27" fillId="6" borderId="48" xfId="0" applyNumberFormat="1" applyFont="1" applyFill="1" applyBorder="1" applyAlignment="1"/>
    <xf numFmtId="3" fontId="27" fillId="0" borderId="118" xfId="0" applyNumberFormat="1" applyFont="1" applyFill="1" applyBorder="1" applyAlignment="1"/>
    <xf numFmtId="0" fontId="56" fillId="7" borderId="160" xfId="0" applyFont="1" applyFill="1" applyBorder="1" applyAlignment="1">
      <alignment horizontal="center" vertical="center"/>
    </xf>
    <xf numFmtId="0" fontId="56" fillId="7" borderId="175" xfId="0" applyFont="1" applyFill="1" applyBorder="1" applyAlignment="1">
      <alignment horizontal="center" vertical="center"/>
    </xf>
    <xf numFmtId="3" fontId="27" fillId="0" borderId="17" xfId="0" applyNumberFormat="1" applyFont="1" applyFill="1" applyBorder="1" applyAlignment="1"/>
    <xf numFmtId="3" fontId="27" fillId="0" borderId="19" xfId="0" applyNumberFormat="1" applyFont="1" applyFill="1" applyBorder="1" applyAlignment="1"/>
    <xf numFmtId="3" fontId="27" fillId="0" borderId="178" xfId="0" applyNumberFormat="1" applyFont="1" applyFill="1" applyBorder="1" applyAlignment="1"/>
    <xf numFmtId="3" fontId="27" fillId="6" borderId="126" xfId="0" applyNumberFormat="1" applyFont="1" applyFill="1" applyBorder="1" applyAlignment="1"/>
    <xf numFmtId="3" fontId="27" fillId="0" borderId="18" xfId="0" applyNumberFormat="1" applyFont="1" applyFill="1" applyBorder="1" applyAlignment="1"/>
    <xf numFmtId="3" fontId="27" fillId="0" borderId="18" xfId="0" applyNumberFormat="1" applyFont="1" applyFill="1" applyBorder="1" applyAlignment="1">
      <alignment vertical="center"/>
    </xf>
    <xf numFmtId="3" fontId="27" fillId="0" borderId="161" xfId="0" applyNumberFormat="1" applyFont="1" applyFill="1" applyBorder="1" applyAlignment="1">
      <alignment vertical="center"/>
    </xf>
    <xf numFmtId="0" fontId="22" fillId="18" borderId="179" xfId="0" applyFont="1" applyFill="1" applyBorder="1" applyAlignment="1">
      <alignment horizontal="center"/>
    </xf>
    <xf numFmtId="0" fontId="24" fillId="18" borderId="4" xfId="0" applyFont="1" applyFill="1" applyBorder="1" applyAlignment="1">
      <alignment horizontal="left"/>
    </xf>
    <xf numFmtId="0" fontId="24" fillId="0" borderId="4" xfId="4" applyFont="1" applyFill="1" applyBorder="1" applyAlignment="1">
      <alignment horizontal="left"/>
    </xf>
    <xf numFmtId="3" fontId="27" fillId="0" borderId="25" xfId="0" applyNumberFormat="1" applyFont="1" applyFill="1" applyBorder="1" applyAlignment="1"/>
    <xf numFmtId="3" fontId="27" fillId="0" borderId="143" xfId="0" applyNumberFormat="1" applyFont="1" applyFill="1" applyBorder="1" applyAlignment="1"/>
    <xf numFmtId="0" fontId="19" fillId="7" borderId="158" xfId="0" applyFont="1" applyFill="1" applyBorder="1" applyAlignment="1">
      <alignment horizontal="center" vertical="center"/>
    </xf>
    <xf numFmtId="3" fontId="20" fillId="0" borderId="20" xfId="0" applyNumberFormat="1" applyFont="1" applyFill="1" applyBorder="1" applyAlignment="1"/>
    <xf numFmtId="3" fontId="20" fillId="5" borderId="20" xfId="0" applyNumberFormat="1" applyFont="1" applyFill="1" applyBorder="1" applyAlignment="1"/>
    <xf numFmtId="3" fontId="20" fillId="6" borderId="199" xfId="0" applyNumberFormat="1" applyFont="1" applyFill="1" applyBorder="1" applyAlignment="1"/>
    <xf numFmtId="0" fontId="56" fillId="0" borderId="19" xfId="0" applyFont="1" applyFill="1" applyBorder="1" applyAlignment="1"/>
    <xf numFmtId="0" fontId="56" fillId="0" borderId="13" xfId="0" applyFont="1" applyFill="1" applyBorder="1" applyAlignment="1"/>
    <xf numFmtId="49" fontId="24" fillId="18" borderId="54" xfId="0" applyNumberFormat="1" applyFont="1" applyFill="1" applyBorder="1" applyAlignment="1">
      <alignment horizontal="left"/>
    </xf>
    <xf numFmtId="49" fontId="24" fillId="18" borderId="54" xfId="0" applyNumberFormat="1" applyFont="1" applyFill="1" applyBorder="1" applyAlignment="1">
      <alignment horizontal="left" wrapText="1"/>
    </xf>
    <xf numFmtId="0" fontId="56" fillId="9" borderId="162" xfId="0" applyFont="1" applyFill="1" applyBorder="1" applyAlignment="1">
      <alignment horizontal="center" vertical="center"/>
    </xf>
    <xf numFmtId="0" fontId="56" fillId="9" borderId="180" xfId="0" applyFont="1" applyFill="1" applyBorder="1" applyAlignment="1">
      <alignment horizontal="center" vertical="center"/>
    </xf>
    <xf numFmtId="0" fontId="22" fillId="0" borderId="179" xfId="0" applyFont="1" applyFill="1" applyBorder="1" applyAlignment="1">
      <alignment horizontal="center"/>
    </xf>
    <xf numFmtId="0" fontId="56" fillId="7" borderId="200" xfId="0" applyFont="1" applyFill="1" applyBorder="1" applyAlignment="1">
      <alignment horizontal="center" vertical="center"/>
    </xf>
    <xf numFmtId="0" fontId="56" fillId="7" borderId="201" xfId="0" applyFont="1" applyFill="1" applyBorder="1" applyAlignment="1">
      <alignment horizontal="center" vertical="center"/>
    </xf>
    <xf numFmtId="0" fontId="22" fillId="0" borderId="62" xfId="0" applyFont="1" applyFill="1" applyBorder="1" applyAlignment="1">
      <alignment horizontal="center"/>
    </xf>
    <xf numFmtId="0" fontId="24" fillId="0" borderId="202" xfId="1" applyFont="1" applyFill="1" applyBorder="1" applyAlignment="1">
      <alignment horizontal="left" wrapText="1"/>
    </xf>
    <xf numFmtId="0" fontId="56" fillId="0" borderId="203" xfId="0" applyFont="1" applyFill="1" applyBorder="1" applyAlignment="1">
      <alignment horizontal="center"/>
    </xf>
    <xf numFmtId="0" fontId="56" fillId="0" borderId="170" xfId="0" applyFont="1" applyFill="1" applyBorder="1" applyAlignment="1">
      <alignment horizontal="center"/>
    </xf>
    <xf numFmtId="0" fontId="56" fillId="0" borderId="171" xfId="0" applyFont="1" applyFill="1" applyBorder="1" applyAlignment="1">
      <alignment horizontal="center"/>
    </xf>
    <xf numFmtId="3" fontId="27" fillId="0" borderId="204" xfId="0" applyNumberFormat="1" applyFont="1" applyFill="1" applyBorder="1" applyAlignment="1">
      <alignment horizontal="right"/>
    </xf>
    <xf numFmtId="3" fontId="27" fillId="0" borderId="205" xfId="0" applyNumberFormat="1" applyFont="1" applyFill="1" applyBorder="1" applyAlignment="1">
      <alignment horizontal="right"/>
    </xf>
    <xf numFmtId="3" fontId="27" fillId="0" borderId="171" xfId="0" applyNumberFormat="1" applyFont="1" applyFill="1" applyBorder="1" applyAlignment="1"/>
    <xf numFmtId="3" fontId="27" fillId="21" borderId="204" xfId="0" applyNumberFormat="1" applyFont="1" applyFill="1" applyBorder="1" applyAlignment="1"/>
    <xf numFmtId="3" fontId="27" fillId="21" borderId="205" xfId="0" applyNumberFormat="1" applyFont="1" applyFill="1" applyBorder="1" applyAlignment="1"/>
    <xf numFmtId="3" fontId="65" fillId="21" borderId="170" xfId="0" applyNumberFormat="1" applyFont="1" applyFill="1" applyBorder="1" applyAlignment="1"/>
    <xf numFmtId="3" fontId="27" fillId="0" borderId="170" xfId="0" applyNumberFormat="1" applyFont="1" applyFill="1" applyBorder="1" applyAlignment="1"/>
    <xf numFmtId="3" fontId="27" fillId="0" borderId="206" xfId="0" applyNumberFormat="1" applyFont="1" applyFill="1" applyBorder="1" applyAlignment="1"/>
    <xf numFmtId="3" fontId="27" fillId="6" borderId="207" xfId="0" applyNumberFormat="1" applyFont="1" applyFill="1" applyBorder="1" applyAlignment="1"/>
    <xf numFmtId="3" fontId="27" fillId="0" borderId="208" xfId="0" applyNumberFormat="1" applyFont="1" applyFill="1" applyBorder="1" applyAlignment="1"/>
    <xf numFmtId="3" fontId="27" fillId="6" borderId="205" xfId="0" applyNumberFormat="1" applyFont="1" applyFill="1" applyBorder="1" applyAlignment="1"/>
    <xf numFmtId="3" fontId="27" fillId="0" borderId="171" xfId="0" applyNumberFormat="1" applyFont="1" applyFill="1" applyBorder="1" applyAlignment="1">
      <alignment vertical="center"/>
    </xf>
    <xf numFmtId="3" fontId="27" fillId="0" borderId="209" xfId="0" applyNumberFormat="1" applyFont="1" applyFill="1" applyBorder="1" applyAlignment="1">
      <alignment vertical="center"/>
    </xf>
    <xf numFmtId="0" fontId="22" fillId="0" borderId="0" xfId="0" applyFont="1" applyAlignment="1">
      <alignment horizontal="center" vertical="center"/>
    </xf>
    <xf numFmtId="3" fontId="65" fillId="18" borderId="27" xfId="0" applyNumberFormat="1" applyFont="1" applyFill="1" applyBorder="1" applyAlignment="1">
      <alignment horizontal="center" vertical="center"/>
    </xf>
    <xf numFmtId="3" fontId="65" fillId="18" borderId="27" xfId="0" applyNumberFormat="1" applyFont="1" applyFill="1" applyBorder="1" applyAlignment="1">
      <alignment vertical="center"/>
    </xf>
    <xf numFmtId="0" fontId="19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5" applyFont="1"/>
    <xf numFmtId="0" fontId="8" fillId="0" borderId="0" xfId="5" applyFont="1"/>
    <xf numFmtId="0" fontId="65" fillId="0" borderId="0" xfId="5" applyFont="1"/>
    <xf numFmtId="0" fontId="0" fillId="0" borderId="0" xfId="0" applyAlignment="1">
      <alignment horizontal="center" vertical="center"/>
    </xf>
    <xf numFmtId="0" fontId="24" fillId="0" borderId="0" xfId="0" applyFont="1" applyFill="1" applyAlignment="1">
      <alignment wrapText="1"/>
    </xf>
    <xf numFmtId="0" fontId="24" fillId="0" borderId="0" xfId="0" applyFont="1" applyFill="1" applyAlignment="1">
      <alignment horizontal="center" wrapText="1"/>
    </xf>
    <xf numFmtId="0" fontId="9" fillId="3" borderId="1" xfId="0" applyFont="1" applyFill="1" applyBorder="1" applyAlignment="1" applyProtection="1">
      <alignment horizontal="right" wrapText="1"/>
      <protection locked="0"/>
    </xf>
    <xf numFmtId="0" fontId="65" fillId="0" borderId="0" xfId="0" applyFont="1" applyFill="1" applyAlignment="1">
      <alignment horizontal="left" vertical="center"/>
    </xf>
    <xf numFmtId="0" fontId="61" fillId="0" borderId="0" xfId="0" applyFont="1"/>
    <xf numFmtId="0" fontId="24" fillId="0" borderId="0" xfId="0" applyFont="1" applyAlignment="1"/>
    <xf numFmtId="0" fontId="24" fillId="0" borderId="0" xfId="0" applyFont="1" applyFill="1" applyAlignment="1">
      <alignment horizontal="right"/>
    </xf>
    <xf numFmtId="0" fontId="55" fillId="0" borderId="0" xfId="0" applyFont="1" applyBorder="1" applyAlignment="1">
      <alignment horizontal="right"/>
    </xf>
    <xf numFmtId="0" fontId="58" fillId="0" borderId="75" xfId="0" applyFont="1" applyFill="1" applyBorder="1" applyAlignment="1">
      <alignment horizontal="center" vertical="center" wrapText="1"/>
    </xf>
    <xf numFmtId="0" fontId="24" fillId="0" borderId="63" xfId="0" applyFont="1" applyFill="1" applyBorder="1" applyAlignment="1">
      <alignment vertical="center"/>
    </xf>
    <xf numFmtId="0" fontId="24" fillId="0" borderId="0" xfId="0" applyFont="1" applyFill="1" applyBorder="1" applyAlignment="1">
      <alignment vertical="center"/>
    </xf>
    <xf numFmtId="0" fontId="64" fillId="0" borderId="0" xfId="0" applyFont="1" applyFill="1" applyBorder="1" applyAlignment="1">
      <alignment vertical="center"/>
    </xf>
    <xf numFmtId="0" fontId="24" fillId="12" borderId="164" xfId="0" applyFont="1" applyFill="1" applyBorder="1" applyAlignment="1">
      <alignment horizontal="center" vertical="center"/>
    </xf>
    <xf numFmtId="0" fontId="56" fillId="7" borderId="214" xfId="0" applyFont="1" applyFill="1" applyBorder="1" applyAlignment="1">
      <alignment horizontal="center" vertical="center"/>
    </xf>
    <xf numFmtId="0" fontId="56" fillId="7" borderId="215" xfId="0" applyFont="1" applyFill="1" applyBorder="1" applyAlignment="1">
      <alignment horizontal="center" vertical="center"/>
    </xf>
    <xf numFmtId="0" fontId="22" fillId="18" borderId="75" xfId="4" applyFont="1" applyFill="1" applyBorder="1" applyAlignment="1">
      <alignment horizontal="center" wrapText="1"/>
    </xf>
    <xf numFmtId="0" fontId="22" fillId="18" borderId="216" xfId="4" applyFont="1" applyFill="1" applyBorder="1" applyAlignment="1">
      <alignment wrapText="1"/>
    </xf>
    <xf numFmtId="0" fontId="56" fillId="0" borderId="25" xfId="0" applyFont="1" applyFill="1" applyBorder="1" applyAlignment="1">
      <alignment horizontal="center"/>
    </xf>
    <xf numFmtId="0" fontId="56" fillId="0" borderId="1" xfId="0" applyFont="1" applyFill="1" applyBorder="1" applyAlignment="1">
      <alignment horizontal="center"/>
    </xf>
    <xf numFmtId="0" fontId="56" fillId="0" borderId="141" xfId="0" applyFont="1" applyFill="1" applyBorder="1" applyAlignment="1">
      <alignment horizontal="center"/>
    </xf>
    <xf numFmtId="3" fontId="27" fillId="0" borderId="126" xfId="0" applyNumberFormat="1" applyFont="1" applyFill="1" applyBorder="1" applyAlignment="1">
      <alignment horizontal="right"/>
    </xf>
    <xf numFmtId="3" fontId="27" fillId="0" borderId="18" xfId="0" applyNumberFormat="1" applyFont="1" applyFill="1" applyBorder="1" applyAlignment="1">
      <alignment horizontal="right"/>
    </xf>
    <xf numFmtId="3" fontId="27" fillId="21" borderId="14" xfId="0" applyNumberFormat="1" applyFont="1" applyFill="1" applyBorder="1" applyAlignment="1">
      <alignment horizontal="right"/>
    </xf>
    <xf numFmtId="3" fontId="27" fillId="5" borderId="126" xfId="0" applyNumberFormat="1" applyFont="1" applyFill="1" applyBorder="1" applyAlignment="1">
      <alignment horizontal="right"/>
    </xf>
    <xf numFmtId="3" fontId="65" fillId="5" borderId="17" xfId="0" applyNumberFormat="1" applyFont="1" applyFill="1" applyBorder="1" applyAlignment="1">
      <alignment horizontal="right"/>
    </xf>
    <xf numFmtId="3" fontId="27" fillId="0" borderId="17" xfId="0" applyNumberFormat="1" applyFont="1" applyFill="1" applyBorder="1" applyAlignment="1">
      <alignment horizontal="right"/>
    </xf>
    <xf numFmtId="3" fontId="27" fillId="6" borderId="126" xfId="0" applyNumberFormat="1" applyFont="1" applyFill="1" applyBorder="1" applyAlignment="1">
      <alignment horizontal="right"/>
    </xf>
    <xf numFmtId="3" fontId="27" fillId="0" borderId="161" xfId="0" applyNumberFormat="1" applyFont="1" applyFill="1" applyBorder="1" applyAlignment="1">
      <alignment horizontal="right"/>
    </xf>
    <xf numFmtId="0" fontId="22" fillId="18" borderId="131" xfId="4" applyFont="1" applyFill="1" applyBorder="1" applyAlignment="1">
      <alignment horizontal="center" wrapText="1"/>
    </xf>
    <xf numFmtId="0" fontId="24" fillId="18" borderId="131" xfId="4" applyFont="1" applyFill="1" applyBorder="1" applyAlignment="1">
      <alignment wrapText="1"/>
    </xf>
    <xf numFmtId="3" fontId="27" fillId="21" borderId="159" xfId="0" applyNumberFormat="1" applyFont="1" applyFill="1" applyBorder="1" applyAlignment="1">
      <alignment horizontal="right"/>
    </xf>
    <xf numFmtId="0" fontId="22" fillId="0" borderId="131" xfId="0" applyFont="1" applyFill="1" applyBorder="1" applyAlignment="1">
      <alignment horizontal="center" vertical="center"/>
    </xf>
    <xf numFmtId="0" fontId="24" fillId="0" borderId="179" xfId="0" applyFont="1" applyFill="1" applyBorder="1" applyAlignment="1">
      <alignment wrapText="1"/>
    </xf>
    <xf numFmtId="0" fontId="56" fillId="0" borderId="126" xfId="0" applyFont="1" applyFill="1" applyBorder="1" applyAlignment="1">
      <alignment horizontal="center"/>
    </xf>
    <xf numFmtId="0" fontId="56" fillId="0" borderId="17" xfId="0" applyFont="1" applyFill="1" applyBorder="1" applyAlignment="1">
      <alignment horizontal="center"/>
    </xf>
    <xf numFmtId="0" fontId="56" fillId="0" borderId="18" xfId="0" applyFont="1" applyFill="1" applyBorder="1" applyAlignment="1">
      <alignment horizontal="center"/>
    </xf>
    <xf numFmtId="0" fontId="24" fillId="3" borderId="131" xfId="0" applyFont="1" applyFill="1" applyBorder="1" applyAlignment="1" applyProtection="1">
      <alignment wrapText="1"/>
      <protection locked="0"/>
    </xf>
    <xf numFmtId="0" fontId="24" fillId="0" borderId="55" xfId="0" applyFont="1" applyFill="1" applyBorder="1" applyAlignment="1">
      <alignment wrapText="1"/>
    </xf>
    <xf numFmtId="0" fontId="24" fillId="0" borderId="131" xfId="0" applyFont="1" applyFill="1" applyBorder="1" applyAlignment="1">
      <alignment wrapText="1"/>
    </xf>
    <xf numFmtId="0" fontId="24" fillId="0" borderId="131" xfId="4" applyFont="1" applyFill="1" applyBorder="1" applyAlignment="1">
      <alignment wrapText="1"/>
    </xf>
    <xf numFmtId="0" fontId="24" fillId="0" borderId="179" xfId="4" applyFont="1" applyFill="1" applyBorder="1" applyAlignment="1">
      <alignment wrapText="1"/>
    </xf>
    <xf numFmtId="0" fontId="22" fillId="0" borderId="131" xfId="0" applyFont="1" applyFill="1" applyBorder="1" applyAlignment="1" applyProtection="1">
      <alignment horizontal="center" wrapText="1"/>
      <protection locked="0"/>
    </xf>
    <xf numFmtId="3" fontId="27" fillId="0" borderId="142" xfId="0" applyNumberFormat="1" applyFont="1" applyFill="1" applyBorder="1" applyAlignment="1">
      <alignment horizontal="right"/>
    </xf>
    <xf numFmtId="3" fontId="27" fillId="0" borderId="141" xfId="0" applyNumberFormat="1" applyFont="1" applyFill="1" applyBorder="1" applyAlignment="1">
      <alignment horizontal="right"/>
    </xf>
    <xf numFmtId="3" fontId="27" fillId="21" borderId="25" xfId="0" applyNumberFormat="1" applyFont="1" applyFill="1" applyBorder="1" applyAlignment="1">
      <alignment horizontal="right"/>
    </xf>
    <xf numFmtId="3" fontId="65" fillId="21" borderId="1" xfId="0" applyNumberFormat="1" applyFont="1" applyFill="1" applyBorder="1" applyAlignment="1">
      <alignment horizontal="right"/>
    </xf>
    <xf numFmtId="3" fontId="27" fillId="0" borderId="1" xfId="0" applyNumberFormat="1" applyFont="1" applyFill="1" applyBorder="1" applyAlignment="1">
      <alignment horizontal="right"/>
    </xf>
    <xf numFmtId="3" fontId="27" fillId="6" borderId="25" xfId="0" applyNumberFormat="1" applyFont="1" applyFill="1" applyBorder="1" applyAlignment="1">
      <alignment horizontal="right"/>
    </xf>
    <xf numFmtId="3" fontId="27" fillId="0" borderId="143" xfId="0" applyNumberFormat="1" applyFont="1" applyFill="1" applyBorder="1" applyAlignment="1">
      <alignment horizontal="right"/>
    </xf>
    <xf numFmtId="0" fontId="56" fillId="0" borderId="48" xfId="0" applyFont="1" applyFill="1" applyBorder="1" applyAlignment="1">
      <alignment horizontal="center"/>
    </xf>
    <xf numFmtId="0" fontId="56" fillId="0" borderId="3" xfId="0" applyFont="1" applyFill="1" applyBorder="1" applyAlignment="1">
      <alignment horizontal="center"/>
    </xf>
    <xf numFmtId="0" fontId="56" fillId="0" borderId="118" xfId="0" applyFont="1" applyFill="1" applyBorder="1" applyAlignment="1">
      <alignment horizontal="center"/>
    </xf>
    <xf numFmtId="0" fontId="24" fillId="2" borderId="131" xfId="0" applyFont="1" applyFill="1" applyBorder="1" applyAlignment="1" applyProtection="1">
      <alignment wrapText="1"/>
      <protection locked="0"/>
    </xf>
    <xf numFmtId="0" fontId="24" fillId="18" borderId="217" xfId="0" applyFont="1" applyFill="1" applyBorder="1" applyAlignment="1">
      <alignment wrapText="1"/>
    </xf>
    <xf numFmtId="0" fontId="67" fillId="0" borderId="218" xfId="1" applyFont="1" applyFill="1" applyBorder="1" applyAlignment="1">
      <alignment wrapText="1"/>
    </xf>
    <xf numFmtId="0" fontId="24" fillId="0" borderId="217" xfId="4" applyFont="1" applyFill="1" applyBorder="1" applyAlignment="1">
      <alignment wrapText="1"/>
    </xf>
    <xf numFmtId="0" fontId="24" fillId="3" borderId="217" xfId="0" applyFont="1" applyFill="1" applyBorder="1" applyAlignment="1" applyProtection="1">
      <alignment wrapText="1"/>
      <protection locked="0"/>
    </xf>
    <xf numFmtId="0" fontId="24" fillId="2" borderId="217" xfId="0" applyFont="1" applyFill="1" applyBorder="1" applyAlignment="1" applyProtection="1">
      <alignment wrapText="1"/>
      <protection locked="0"/>
    </xf>
    <xf numFmtId="3" fontId="27" fillId="0" borderId="143" xfId="0" applyNumberFormat="1" applyFont="1" applyFill="1" applyBorder="1" applyAlignment="1">
      <alignment horizontal="right" vertical="center"/>
    </xf>
    <xf numFmtId="0" fontId="24" fillId="18" borderId="217" xfId="4" applyFont="1" applyFill="1" applyBorder="1" applyAlignment="1">
      <alignment wrapText="1"/>
    </xf>
    <xf numFmtId="49" fontId="24" fillId="0" borderId="217" xfId="4" applyNumberFormat="1" applyFont="1" applyFill="1" applyBorder="1" applyAlignment="1">
      <alignment wrapText="1"/>
    </xf>
    <xf numFmtId="49" fontId="24" fillId="18" borderId="96" xfId="0" applyNumberFormat="1" applyFont="1" applyFill="1" applyBorder="1" applyAlignment="1">
      <alignment wrapText="1"/>
    </xf>
    <xf numFmtId="0" fontId="56" fillId="0" borderId="25" xfId="2" applyFont="1" applyFill="1" applyBorder="1" applyAlignment="1">
      <alignment horizontal="center"/>
    </xf>
    <xf numFmtId="0" fontId="56" fillId="0" borderId="1" xfId="2" applyFont="1" applyFill="1" applyBorder="1" applyAlignment="1">
      <alignment horizontal="center"/>
    </xf>
    <xf numFmtId="0" fontId="56" fillId="0" borderId="13" xfId="2" applyFont="1" applyFill="1" applyBorder="1" applyAlignment="1">
      <alignment horizontal="center"/>
    </xf>
    <xf numFmtId="3" fontId="24" fillId="0" borderId="0" xfId="0" applyNumberFormat="1" applyFont="1" applyFill="1" applyBorder="1" applyAlignment="1">
      <alignment vertical="center"/>
    </xf>
    <xf numFmtId="0" fontId="56" fillId="0" borderId="25" xfId="0" applyFont="1" applyFill="1" applyBorder="1" applyAlignment="1"/>
    <xf numFmtId="0" fontId="56" fillId="0" borderId="25" xfId="0" applyFont="1" applyFill="1" applyBorder="1" applyAlignment="1">
      <alignment horizontal="center" wrapText="1"/>
    </xf>
    <xf numFmtId="0" fontId="56" fillId="0" borderId="1" xfId="0" applyFont="1" applyFill="1" applyBorder="1" applyAlignment="1">
      <alignment horizontal="center" wrapText="1"/>
    </xf>
    <xf numFmtId="0" fontId="56" fillId="0" borderId="141" xfId="0" applyFont="1" applyFill="1" applyBorder="1" applyAlignment="1">
      <alignment horizontal="center" wrapText="1"/>
    </xf>
    <xf numFmtId="3" fontId="27" fillId="0" borderId="13" xfId="0" applyNumberFormat="1" applyFont="1" applyFill="1" applyBorder="1" applyAlignment="1">
      <alignment horizontal="right"/>
    </xf>
    <xf numFmtId="3" fontId="27" fillId="6" borderId="142" xfId="0" applyNumberFormat="1" applyFont="1" applyFill="1" applyBorder="1" applyAlignment="1">
      <alignment horizontal="right"/>
    </xf>
    <xf numFmtId="0" fontId="56" fillId="0" borderId="48" xfId="0" applyFont="1" applyFill="1" applyBorder="1" applyAlignment="1">
      <alignment horizontal="center" wrapText="1"/>
    </xf>
    <xf numFmtId="0" fontId="56" fillId="0" borderId="3" xfId="0" applyFont="1" applyFill="1" applyBorder="1" applyAlignment="1">
      <alignment horizontal="center" wrapText="1"/>
    </xf>
    <xf numFmtId="0" fontId="56" fillId="0" borderId="118" xfId="0" applyFont="1" applyFill="1" applyBorder="1" applyAlignment="1">
      <alignment horizontal="center" wrapText="1"/>
    </xf>
    <xf numFmtId="3" fontId="27" fillId="0" borderId="48" xfId="0" applyNumberFormat="1" applyFont="1" applyFill="1" applyBorder="1" applyAlignment="1">
      <alignment horizontal="right"/>
    </xf>
    <xf numFmtId="3" fontId="27" fillId="0" borderId="49" xfId="0" applyNumberFormat="1" applyFont="1" applyFill="1" applyBorder="1" applyAlignment="1">
      <alignment horizontal="right"/>
    </xf>
    <xf numFmtId="3" fontId="27" fillId="21" borderId="48" xfId="0" applyNumberFormat="1" applyFont="1" applyFill="1" applyBorder="1" applyAlignment="1">
      <alignment horizontal="right"/>
    </xf>
    <xf numFmtId="3" fontId="65" fillId="21" borderId="3" xfId="0" applyNumberFormat="1" applyFont="1" applyFill="1" applyBorder="1" applyAlignment="1">
      <alignment horizontal="right"/>
    </xf>
    <xf numFmtId="3" fontId="27" fillId="0" borderId="3" xfId="0" applyNumberFormat="1" applyFont="1" applyFill="1" applyBorder="1" applyAlignment="1">
      <alignment horizontal="right"/>
    </xf>
    <xf numFmtId="3" fontId="27" fillId="6" borderId="163" xfId="0" applyNumberFormat="1" applyFont="1" applyFill="1" applyBorder="1" applyAlignment="1">
      <alignment horizontal="right"/>
    </xf>
    <xf numFmtId="3" fontId="27" fillId="0" borderId="118" xfId="0" applyNumberFormat="1" applyFont="1" applyFill="1" applyBorder="1" applyAlignment="1">
      <alignment horizontal="right"/>
    </xf>
    <xf numFmtId="3" fontId="27" fillId="6" borderId="48" xfId="0" applyNumberFormat="1" applyFont="1" applyFill="1" applyBorder="1" applyAlignment="1">
      <alignment horizontal="right"/>
    </xf>
    <xf numFmtId="3" fontId="27" fillId="0" borderId="86" xfId="0" applyNumberFormat="1" applyFont="1" applyFill="1" applyBorder="1" applyAlignment="1">
      <alignment horizontal="right" vertical="center"/>
    </xf>
    <xf numFmtId="0" fontId="24" fillId="0" borderId="217" xfId="0" applyFont="1" applyFill="1" applyBorder="1" applyAlignment="1" applyProtection="1">
      <alignment wrapText="1"/>
      <protection locked="0"/>
    </xf>
    <xf numFmtId="0" fontId="56" fillId="0" borderId="136" xfId="0" applyFont="1" applyFill="1" applyBorder="1" applyAlignment="1">
      <alignment horizontal="center" wrapText="1"/>
    </xf>
    <xf numFmtId="0" fontId="56" fillId="0" borderId="133" xfId="0" applyFont="1" applyFill="1" applyBorder="1" applyAlignment="1">
      <alignment horizontal="center" wrapText="1"/>
    </xf>
    <xf numFmtId="0" fontId="56" fillId="0" borderId="219" xfId="0" applyFont="1" applyFill="1" applyBorder="1" applyAlignment="1">
      <alignment horizontal="center" wrapText="1"/>
    </xf>
    <xf numFmtId="0" fontId="24" fillId="3" borderId="25" xfId="0" applyFont="1" applyFill="1" applyBorder="1" applyAlignment="1" applyProtection="1">
      <alignment wrapText="1"/>
      <protection locked="0"/>
    </xf>
    <xf numFmtId="0" fontId="56" fillId="0" borderId="41" xfId="0" applyFont="1" applyBorder="1" applyAlignment="1" applyProtection="1">
      <alignment horizontal="center"/>
      <protection locked="0"/>
    </xf>
    <xf numFmtId="0" fontId="56" fillId="7" borderId="220" xfId="0" applyFont="1" applyFill="1" applyBorder="1" applyAlignment="1">
      <alignment horizontal="center" vertical="center"/>
    </xf>
    <xf numFmtId="0" fontId="56" fillId="7" borderId="221" xfId="0" applyFont="1" applyFill="1" applyBorder="1" applyAlignment="1">
      <alignment horizontal="center" vertical="center"/>
    </xf>
    <xf numFmtId="0" fontId="24" fillId="0" borderId="137" xfId="0" applyFont="1" applyFill="1" applyBorder="1" applyAlignment="1">
      <alignment wrapText="1"/>
    </xf>
    <xf numFmtId="0" fontId="56" fillId="0" borderId="120" xfId="0" applyFont="1" applyFill="1" applyBorder="1" applyAlignment="1">
      <alignment horizontal="center" wrapText="1"/>
    </xf>
    <xf numFmtId="0" fontId="56" fillId="0" borderId="121" xfId="0" applyFont="1" applyFill="1" applyBorder="1" applyAlignment="1">
      <alignment horizontal="center" wrapText="1"/>
    </xf>
    <xf numFmtId="0" fontId="56" fillId="0" borderId="185" xfId="0" applyFont="1" applyFill="1" applyBorder="1" applyAlignment="1">
      <alignment horizontal="center" wrapText="1"/>
    </xf>
    <xf numFmtId="3" fontId="27" fillId="0" borderId="181" xfId="0" applyNumberFormat="1" applyFont="1" applyFill="1" applyBorder="1" applyAlignment="1">
      <alignment horizontal="right"/>
    </xf>
    <xf numFmtId="3" fontId="27" fillId="0" borderId="136" xfId="0" applyNumberFormat="1" applyFont="1" applyFill="1" applyBorder="1" applyAlignment="1">
      <alignment horizontal="right"/>
    </xf>
    <xf numFmtId="3" fontId="27" fillId="0" borderId="135" xfId="0" applyNumberFormat="1" applyFont="1" applyFill="1" applyBorder="1" applyAlignment="1">
      <alignment horizontal="right"/>
    </xf>
    <xf numFmtId="3" fontId="27" fillId="21" borderId="181" xfId="0" applyNumberFormat="1" applyFont="1" applyFill="1" applyBorder="1" applyAlignment="1">
      <alignment horizontal="right"/>
    </xf>
    <xf numFmtId="3" fontId="27" fillId="21" borderId="136" xfId="0" applyNumberFormat="1" applyFont="1" applyFill="1" applyBorder="1" applyAlignment="1">
      <alignment horizontal="right"/>
    </xf>
    <xf numFmtId="3" fontId="65" fillId="21" borderId="133" xfId="0" applyNumberFormat="1" applyFont="1" applyFill="1" applyBorder="1" applyAlignment="1">
      <alignment horizontal="right"/>
    </xf>
    <xf numFmtId="3" fontId="27" fillId="0" borderId="133" xfId="0" applyNumberFormat="1" applyFont="1" applyFill="1" applyBorder="1" applyAlignment="1">
      <alignment horizontal="right"/>
    </xf>
    <xf numFmtId="3" fontId="27" fillId="6" borderId="222" xfId="0" applyNumberFormat="1" applyFont="1" applyFill="1" applyBorder="1" applyAlignment="1">
      <alignment horizontal="right"/>
    </xf>
    <xf numFmtId="3" fontId="27" fillId="0" borderId="219" xfId="0" applyNumberFormat="1" applyFont="1" applyFill="1" applyBorder="1" applyAlignment="1">
      <alignment horizontal="right"/>
    </xf>
    <xf numFmtId="3" fontId="27" fillId="6" borderId="136" xfId="0" applyNumberFormat="1" applyFont="1" applyFill="1" applyBorder="1" applyAlignment="1">
      <alignment horizontal="right"/>
    </xf>
    <xf numFmtId="3" fontId="27" fillId="0" borderId="223" xfId="0" applyNumberFormat="1" applyFont="1" applyFill="1" applyBorder="1" applyAlignment="1">
      <alignment horizontal="right"/>
    </xf>
    <xf numFmtId="0" fontId="19" fillId="0" borderId="198" xfId="0" applyFont="1" applyFill="1" applyBorder="1" applyAlignment="1"/>
    <xf numFmtId="3" fontId="27" fillId="0" borderId="20" xfId="0" applyNumberFormat="1" applyFont="1" applyFill="1" applyBorder="1" applyAlignment="1">
      <alignment horizontal="right"/>
    </xf>
    <xf numFmtId="3" fontId="27" fillId="5" borderId="20" xfId="0" applyNumberFormat="1" applyFont="1" applyFill="1" applyBorder="1" applyAlignment="1">
      <alignment horizontal="right"/>
    </xf>
    <xf numFmtId="3" fontId="27" fillId="0" borderId="19" xfId="0" applyNumberFormat="1" applyFont="1" applyFill="1" applyBorder="1" applyAlignment="1">
      <alignment horizontal="right"/>
    </xf>
    <xf numFmtId="3" fontId="27" fillId="6" borderId="199" xfId="0" applyNumberFormat="1" applyFont="1" applyFill="1" applyBorder="1" applyAlignment="1">
      <alignment horizontal="right"/>
    </xf>
    <xf numFmtId="3" fontId="27" fillId="0" borderId="178" xfId="0" applyNumberFormat="1" applyFont="1" applyFill="1" applyBorder="1" applyAlignment="1">
      <alignment horizontal="right"/>
    </xf>
    <xf numFmtId="3" fontId="20" fillId="0" borderId="18" xfId="0" applyNumberFormat="1" applyFont="1" applyFill="1" applyBorder="1" applyAlignment="1">
      <alignment horizontal="right"/>
    </xf>
    <xf numFmtId="3" fontId="20" fillId="0" borderId="161" xfId="0" applyNumberFormat="1" applyFont="1" applyFill="1" applyBorder="1" applyAlignment="1">
      <alignment horizontal="right" vertical="center"/>
    </xf>
    <xf numFmtId="0" fontId="24" fillId="0" borderId="99" xfId="0" applyFont="1" applyFill="1" applyBorder="1" applyAlignment="1">
      <alignment wrapText="1"/>
    </xf>
    <xf numFmtId="0" fontId="22" fillId="0" borderId="95" xfId="0" applyFont="1" applyFill="1" applyBorder="1" applyAlignment="1">
      <alignment horizontal="center" vertical="center"/>
    </xf>
    <xf numFmtId="0" fontId="24" fillId="0" borderId="95" xfId="0" applyFont="1" applyFill="1" applyBorder="1" applyAlignment="1">
      <alignment wrapText="1"/>
    </xf>
    <xf numFmtId="0" fontId="22" fillId="0" borderId="83" xfId="0" applyFont="1" applyFill="1" applyBorder="1" applyAlignment="1">
      <alignment horizontal="center" vertical="center"/>
    </xf>
    <xf numFmtId="0" fontId="24" fillId="0" borderId="119" xfId="0" applyFont="1" applyFill="1" applyBorder="1" applyAlignment="1">
      <alignment wrapText="1"/>
    </xf>
    <xf numFmtId="0" fontId="56" fillId="0" borderId="125" xfId="0" applyFont="1" applyFill="1" applyBorder="1" applyAlignment="1">
      <alignment horizontal="center"/>
    </xf>
    <xf numFmtId="0" fontId="56" fillId="0" borderId="43" xfId="0" applyFont="1" applyFill="1" applyBorder="1" applyAlignment="1">
      <alignment horizontal="center" wrapText="1"/>
    </xf>
    <xf numFmtId="0" fontId="56" fillId="0" borderId="105" xfId="0" applyFont="1" applyFill="1" applyBorder="1" applyAlignment="1">
      <alignment horizontal="center" wrapText="1"/>
    </xf>
    <xf numFmtId="0" fontId="56" fillId="0" borderId="164" xfId="0" applyFont="1" applyFill="1" applyBorder="1" applyAlignment="1">
      <alignment vertical="center"/>
    </xf>
    <xf numFmtId="0" fontId="56" fillId="0" borderId="0" xfId="0" applyFont="1" applyFill="1" applyBorder="1" applyAlignment="1">
      <alignment vertical="center"/>
    </xf>
    <xf numFmtId="3" fontId="65" fillId="18" borderId="100" xfId="0" applyNumberFormat="1" applyFont="1" applyFill="1" applyBorder="1" applyAlignment="1">
      <alignment horizontal="right"/>
    </xf>
    <xf numFmtId="3" fontId="65" fillId="18" borderId="33" xfId="0" applyNumberFormat="1" applyFont="1" applyFill="1" applyBorder="1" applyAlignment="1">
      <alignment horizontal="right"/>
    </xf>
    <xf numFmtId="3" fontId="65" fillId="18" borderId="35" xfId="0" applyNumberFormat="1" applyFont="1" applyFill="1" applyBorder="1" applyAlignment="1">
      <alignment horizontal="right"/>
    </xf>
    <xf numFmtId="3" fontId="65" fillId="18" borderId="149" xfId="0" applyNumberFormat="1" applyFont="1" applyFill="1" applyBorder="1" applyAlignment="1">
      <alignment horizontal="right"/>
    </xf>
    <xf numFmtId="3" fontId="65" fillId="18" borderId="34" xfId="0" applyNumberFormat="1" applyFont="1" applyFill="1" applyBorder="1" applyAlignment="1">
      <alignment horizontal="right"/>
    </xf>
    <xf numFmtId="3" fontId="65" fillId="18" borderId="35" xfId="0" applyNumberFormat="1" applyFont="1" applyFill="1" applyBorder="1" applyAlignment="1">
      <alignment horizontal="right" vertical="center"/>
    </xf>
    <xf numFmtId="0" fontId="56" fillId="0" borderId="0" xfId="0" applyFont="1" applyFill="1" applyBorder="1"/>
    <xf numFmtId="0" fontId="61" fillId="0" borderId="0" xfId="0" applyFont="1" applyBorder="1" applyAlignment="1"/>
    <xf numFmtId="0" fontId="68" fillId="0" borderId="0" xfId="0" applyFont="1" applyBorder="1" applyAlignment="1"/>
    <xf numFmtId="3" fontId="30" fillId="0" borderId="0" xfId="0" applyNumberFormat="1" applyFont="1" applyFill="1" applyBorder="1" applyAlignment="1">
      <alignment horizontal="right"/>
    </xf>
    <xf numFmtId="0" fontId="22" fillId="12" borderId="0" xfId="0" applyFont="1" applyFill="1" applyBorder="1"/>
    <xf numFmtId="0" fontId="68" fillId="12" borderId="0" xfId="0" applyFont="1" applyFill="1" applyBorder="1" applyAlignment="1"/>
    <xf numFmtId="0" fontId="68" fillId="0" borderId="0" xfId="0" applyFont="1" applyFill="1" applyBorder="1" applyAlignment="1"/>
    <xf numFmtId="0" fontId="24" fillId="0" borderId="0" xfId="0" applyFont="1" applyFill="1" applyBorder="1" applyAlignment="1"/>
    <xf numFmtId="0" fontId="22" fillId="0" borderId="0" xfId="0" applyFont="1"/>
    <xf numFmtId="0" fontId="57" fillId="0" borderId="0" xfId="5" applyFont="1"/>
    <xf numFmtId="0" fontId="22" fillId="0" borderId="0" xfId="5" applyFont="1"/>
    <xf numFmtId="0" fontId="22" fillId="0" borderId="41" xfId="0" applyFont="1" applyFill="1" applyBorder="1"/>
    <xf numFmtId="0" fontId="56" fillId="0" borderId="225" xfId="0" applyFont="1" applyFill="1" applyBorder="1" applyProtection="1">
      <protection locked="0"/>
    </xf>
    <xf numFmtId="0" fontId="24" fillId="19" borderId="55" xfId="0" applyFont="1" applyFill="1" applyBorder="1" applyAlignment="1" applyProtection="1">
      <alignment wrapText="1"/>
      <protection locked="0"/>
    </xf>
    <xf numFmtId="0" fontId="56" fillId="0" borderId="89" xfId="0" applyFont="1" applyBorder="1" applyAlignment="1" applyProtection="1">
      <alignment horizontal="center"/>
      <protection locked="0"/>
    </xf>
    <xf numFmtId="0" fontId="56" fillId="0" borderId="59" xfId="0" applyFont="1" applyBorder="1" applyAlignment="1" applyProtection="1">
      <alignment horizontal="center"/>
      <protection locked="0"/>
    </xf>
    <xf numFmtId="0" fontId="56" fillId="0" borderId="57" xfId="0" applyFont="1" applyBorder="1" applyAlignment="1" applyProtection="1">
      <alignment horizontal="center"/>
      <protection locked="0"/>
    </xf>
    <xf numFmtId="3" fontId="57" fillId="0" borderId="55" xfId="0" applyNumberFormat="1" applyFont="1" applyFill="1" applyBorder="1" applyAlignment="1" applyProtection="1"/>
    <xf numFmtId="3" fontId="57" fillId="0" borderId="89" xfId="0" applyNumberFormat="1" applyFont="1" applyFill="1" applyBorder="1" applyAlignment="1" applyProtection="1">
      <protection locked="0"/>
    </xf>
    <xf numFmtId="3" fontId="57" fillId="0" borderId="88" xfId="0" applyNumberFormat="1" applyFont="1" applyFill="1" applyBorder="1" applyAlignment="1" applyProtection="1">
      <protection locked="0"/>
    </xf>
    <xf numFmtId="3" fontId="57" fillId="17" borderId="55" xfId="0" applyNumberFormat="1" applyFont="1" applyFill="1" applyBorder="1" applyAlignment="1" applyProtection="1"/>
    <xf numFmtId="3" fontId="57" fillId="17" borderId="89" xfId="0" applyNumberFormat="1" applyFont="1" applyFill="1" applyBorder="1" applyAlignment="1" applyProtection="1">
      <protection locked="0"/>
    </xf>
    <xf numFmtId="3" fontId="9" fillId="17" borderId="59" xfId="0" applyNumberFormat="1" applyFont="1" applyFill="1" applyBorder="1" applyAlignment="1" applyProtection="1">
      <protection locked="0"/>
    </xf>
    <xf numFmtId="3" fontId="57" fillId="0" borderId="59" xfId="0" applyNumberFormat="1" applyFont="1" applyFill="1" applyBorder="1" applyAlignment="1" applyProtection="1">
      <protection locked="0"/>
    </xf>
    <xf numFmtId="3" fontId="57" fillId="10" borderId="58" xfId="0" applyNumberFormat="1" applyFont="1" applyFill="1" applyBorder="1" applyAlignment="1" applyProtection="1">
      <protection locked="0"/>
    </xf>
    <xf numFmtId="3" fontId="57" fillId="0" borderId="56" xfId="0" applyNumberFormat="1" applyFont="1" applyFill="1" applyBorder="1" applyAlignment="1" applyProtection="1">
      <protection locked="0"/>
    </xf>
    <xf numFmtId="0" fontId="56" fillId="0" borderId="124" xfId="0" applyFont="1" applyFill="1" applyBorder="1"/>
    <xf numFmtId="0" fontId="56" fillId="24" borderId="59" xfId="0" applyFont="1" applyFill="1" applyBorder="1" applyAlignment="1" applyProtection="1">
      <alignment horizontal="center"/>
      <protection locked="0"/>
    </xf>
    <xf numFmtId="0" fontId="56" fillId="0" borderId="227" xfId="2" applyFont="1" applyBorder="1" applyAlignment="1">
      <alignment horizontal="center"/>
    </xf>
    <xf numFmtId="3" fontId="27" fillId="0" borderId="55" xfId="0" applyNumberFormat="1" applyFont="1" applyFill="1" applyBorder="1" applyAlignment="1" applyProtection="1">
      <protection locked="0"/>
    </xf>
    <xf numFmtId="3" fontId="27" fillId="0" borderId="89" xfId="0" applyNumberFormat="1" applyFont="1" applyFill="1" applyBorder="1" applyAlignment="1" applyProtection="1">
      <protection locked="0"/>
    </xf>
    <xf numFmtId="3" fontId="27" fillId="0" borderId="88" xfId="0" applyNumberFormat="1" applyFont="1" applyFill="1" applyBorder="1" applyAlignment="1" applyProtection="1">
      <protection locked="0"/>
    </xf>
    <xf numFmtId="3" fontId="27" fillId="17" borderId="55" xfId="0" applyNumberFormat="1" applyFont="1" applyFill="1" applyBorder="1" applyAlignment="1" applyProtection="1">
      <protection locked="0"/>
    </xf>
    <xf numFmtId="3" fontId="27" fillId="17" borderId="89" xfId="0" applyNumberFormat="1" applyFont="1" applyFill="1" applyBorder="1" applyAlignment="1" applyProtection="1">
      <protection locked="0"/>
    </xf>
    <xf numFmtId="3" fontId="27" fillId="0" borderId="59" xfId="0" applyNumberFormat="1" applyFont="1" applyFill="1" applyBorder="1" applyAlignment="1" applyProtection="1">
      <protection locked="0"/>
    </xf>
    <xf numFmtId="0" fontId="56" fillId="0" borderId="46" xfId="0" applyFont="1" applyFill="1" applyBorder="1" applyProtection="1">
      <protection locked="0"/>
    </xf>
    <xf numFmtId="0" fontId="56" fillId="0" borderId="46" xfId="0" applyFont="1" applyBorder="1" applyAlignment="1" applyProtection="1">
      <alignment horizontal="center"/>
      <protection locked="0"/>
    </xf>
    <xf numFmtId="3" fontId="57" fillId="0" borderId="40" xfId="0" applyNumberFormat="1" applyFont="1" applyFill="1" applyBorder="1" applyAlignment="1" applyProtection="1"/>
    <xf numFmtId="3" fontId="57" fillId="0" borderId="36" xfId="0" applyNumberFormat="1" applyFont="1" applyFill="1" applyBorder="1" applyAlignment="1" applyProtection="1">
      <protection locked="0"/>
    </xf>
    <xf numFmtId="3" fontId="57" fillId="0" borderId="68" xfId="0" applyNumberFormat="1" applyFont="1" applyFill="1" applyBorder="1" applyAlignment="1" applyProtection="1">
      <protection locked="0"/>
    </xf>
    <xf numFmtId="3" fontId="57" fillId="17" borderId="40" xfId="0" applyNumberFormat="1" applyFont="1" applyFill="1" applyBorder="1" applyAlignment="1" applyProtection="1"/>
    <xf numFmtId="3" fontId="57" fillId="17" borderId="36" xfId="0" applyNumberFormat="1" applyFont="1" applyFill="1" applyBorder="1" applyAlignment="1" applyProtection="1">
      <protection locked="0"/>
    </xf>
    <xf numFmtId="3" fontId="57" fillId="0" borderId="2" xfId="0" applyNumberFormat="1" applyFont="1" applyFill="1" applyBorder="1" applyAlignment="1" applyProtection="1">
      <protection locked="0"/>
    </xf>
    <xf numFmtId="3" fontId="57" fillId="0" borderId="37" xfId="0" applyNumberFormat="1" applyFont="1" applyFill="1" applyBorder="1" applyAlignment="1" applyProtection="1">
      <protection locked="0"/>
    </xf>
    <xf numFmtId="3" fontId="57" fillId="10" borderId="41" xfId="0" applyNumberFormat="1" applyFont="1" applyFill="1" applyBorder="1" applyAlignment="1" applyProtection="1">
      <protection locked="0"/>
    </xf>
    <xf numFmtId="3" fontId="27" fillId="10" borderId="41" xfId="0" applyNumberFormat="1" applyFont="1" applyFill="1" applyBorder="1" applyAlignment="1" applyProtection="1">
      <protection locked="0"/>
    </xf>
    <xf numFmtId="0" fontId="22" fillId="0" borderId="40" xfId="0" applyFont="1" applyFill="1" applyBorder="1" applyProtection="1">
      <protection locked="0"/>
    </xf>
    <xf numFmtId="0" fontId="24" fillId="0" borderId="40" xfId="1" applyFont="1" applyFill="1" applyBorder="1" applyAlignment="1" applyProtection="1">
      <alignment wrapText="1"/>
      <protection locked="0"/>
    </xf>
    <xf numFmtId="3" fontId="57" fillId="0" borderId="83" xfId="0" applyNumberFormat="1" applyFont="1" applyFill="1" applyBorder="1" applyAlignment="1" applyProtection="1"/>
    <xf numFmtId="3" fontId="57" fillId="17" borderId="83" xfId="0" applyNumberFormat="1" applyFont="1" applyFill="1" applyBorder="1" applyAlignment="1" applyProtection="1"/>
    <xf numFmtId="3" fontId="9" fillId="17" borderId="2" xfId="0" applyNumberFormat="1" applyFont="1" applyFill="1" applyBorder="1" applyAlignment="1" applyProtection="1">
      <protection locked="0"/>
    </xf>
    <xf numFmtId="0" fontId="55" fillId="0" borderId="46" xfId="0" applyFont="1" applyBorder="1"/>
    <xf numFmtId="0" fontId="56" fillId="26" borderId="37" xfId="0" applyFont="1" applyFill="1" applyBorder="1"/>
    <xf numFmtId="3" fontId="57" fillId="0" borderId="40" xfId="0" applyNumberFormat="1" applyFont="1" applyFill="1" applyBorder="1" applyAlignment="1" applyProtection="1">
      <protection locked="0"/>
    </xf>
    <xf numFmtId="0" fontId="69" fillId="0" borderId="0" xfId="0" applyFont="1"/>
    <xf numFmtId="0" fontId="69" fillId="0" borderId="0" xfId="0" applyFont="1" applyBorder="1"/>
    <xf numFmtId="0" fontId="56" fillId="9" borderId="37" xfId="0" applyFont="1" applyFill="1" applyBorder="1"/>
    <xf numFmtId="0" fontId="56" fillId="0" borderId="36" xfId="0" applyFont="1" applyFill="1" applyBorder="1" applyAlignment="1" applyProtection="1">
      <alignment horizontal="center"/>
      <protection locked="0"/>
    </xf>
    <xf numFmtId="0" fontId="56" fillId="0" borderId="2" xfId="0" applyFont="1" applyFill="1" applyBorder="1" applyAlignment="1" applyProtection="1">
      <alignment horizontal="center"/>
      <protection locked="0"/>
    </xf>
    <xf numFmtId="0" fontId="56" fillId="0" borderId="37" xfId="0" applyFont="1" applyFill="1" applyBorder="1" applyAlignment="1" applyProtection="1">
      <alignment horizontal="center"/>
      <protection locked="0"/>
    </xf>
    <xf numFmtId="0" fontId="55" fillId="0" borderId="45" xfId="0" applyFont="1" applyBorder="1"/>
    <xf numFmtId="0" fontId="56" fillId="26" borderId="57" xfId="0" applyFont="1" applyFill="1" applyBorder="1"/>
    <xf numFmtId="0" fontId="56" fillId="9" borderId="57" xfId="0" applyFont="1" applyFill="1" applyBorder="1"/>
    <xf numFmtId="0" fontId="24" fillId="0" borderId="40" xfId="0" applyFont="1" applyFill="1" applyBorder="1" applyAlignment="1">
      <alignment wrapText="1"/>
    </xf>
    <xf numFmtId="3" fontId="24" fillId="0" borderId="68" xfId="0" applyNumberFormat="1" applyFont="1" applyFill="1" applyBorder="1" applyAlignment="1" applyProtection="1">
      <protection locked="0"/>
    </xf>
    <xf numFmtId="0" fontId="56" fillId="9" borderId="229" xfId="0" applyFont="1" applyFill="1" applyBorder="1" applyProtection="1">
      <protection locked="0"/>
    </xf>
    <xf numFmtId="0" fontId="24" fillId="0" borderId="69" xfId="0" applyFont="1" applyFill="1" applyBorder="1" applyAlignment="1">
      <alignment horizontal="left" wrapText="1"/>
    </xf>
    <xf numFmtId="3" fontId="57" fillId="0" borderId="57" xfId="0" applyNumberFormat="1" applyFont="1" applyFill="1" applyBorder="1" applyAlignment="1" applyProtection="1">
      <protection locked="0"/>
    </xf>
    <xf numFmtId="3" fontId="57" fillId="0" borderId="55" xfId="0" applyNumberFormat="1" applyFont="1" applyFill="1" applyBorder="1" applyAlignment="1" applyProtection="1">
      <protection locked="0"/>
    </xf>
    <xf numFmtId="0" fontId="56" fillId="25" borderId="227" xfId="0" applyFont="1" applyFill="1" applyBorder="1"/>
    <xf numFmtId="0" fontId="56" fillId="0" borderId="45" xfId="2" applyFont="1" applyBorder="1" applyAlignment="1">
      <alignment horizontal="center"/>
    </xf>
    <xf numFmtId="0" fontId="56" fillId="0" borderId="59" xfId="2" applyFont="1" applyBorder="1" applyAlignment="1">
      <alignment horizontal="center"/>
    </xf>
    <xf numFmtId="3" fontId="27" fillId="10" borderId="58" xfId="0" applyNumberFormat="1" applyFont="1" applyFill="1" applyBorder="1" applyAlignment="1" applyProtection="1">
      <protection locked="0"/>
    </xf>
    <xf numFmtId="3" fontId="9" fillId="17" borderId="90" xfId="0" applyNumberFormat="1" applyFont="1" applyFill="1" applyBorder="1" applyAlignment="1"/>
    <xf numFmtId="0" fontId="56" fillId="0" borderId="139" xfId="0" applyFont="1" applyBorder="1" applyAlignment="1">
      <alignment horizontal="center"/>
    </xf>
    <xf numFmtId="0" fontId="24" fillId="0" borderId="40" xfId="0" applyFont="1" applyFill="1" applyBorder="1" applyAlignment="1" applyProtection="1">
      <alignment wrapText="1"/>
      <protection locked="0"/>
    </xf>
    <xf numFmtId="0" fontId="56" fillId="0" borderId="89" xfId="0" applyFont="1" applyFill="1" applyBorder="1" applyAlignment="1" applyProtection="1">
      <alignment horizontal="center"/>
      <protection locked="0"/>
    </xf>
    <xf numFmtId="0" fontId="56" fillId="0" borderId="59" xfId="0" applyFont="1" applyFill="1" applyBorder="1" applyAlignment="1">
      <alignment horizontal="center"/>
    </xf>
    <xf numFmtId="0" fontId="56" fillId="0" borderId="59" xfId="0" applyFont="1" applyBorder="1" applyAlignment="1">
      <alignment horizontal="center"/>
    </xf>
    <xf numFmtId="0" fontId="56" fillId="0" borderId="88" xfId="0" applyFont="1" applyBorder="1" applyAlignment="1">
      <alignment horizontal="center"/>
    </xf>
    <xf numFmtId="3" fontId="57" fillId="10" borderId="130" xfId="0" applyNumberFormat="1" applyFont="1" applyFill="1" applyBorder="1" applyAlignment="1" applyProtection="1">
      <protection locked="0"/>
    </xf>
    <xf numFmtId="0" fontId="69" fillId="0" borderId="45" xfId="0" applyFont="1" applyBorder="1"/>
    <xf numFmtId="0" fontId="55" fillId="0" borderId="2" xfId="0" applyFont="1" applyBorder="1"/>
    <xf numFmtId="0" fontId="56" fillId="26" borderId="36" xfId="0" applyFont="1" applyFill="1" applyBorder="1"/>
    <xf numFmtId="0" fontId="56" fillId="24" borderId="124" xfId="0" applyFont="1" applyFill="1" applyBorder="1"/>
    <xf numFmtId="0" fontId="67" fillId="0" borderId="55" xfId="1" applyFont="1" applyFill="1" applyBorder="1" applyAlignment="1" applyProtection="1">
      <alignment wrapText="1"/>
      <protection locked="0"/>
    </xf>
    <xf numFmtId="0" fontId="24" fillId="0" borderId="40" xfId="0" applyFont="1" applyFill="1" applyBorder="1" applyAlignment="1" applyProtection="1">
      <alignment horizontal="left" wrapText="1"/>
      <protection locked="0"/>
    </xf>
    <xf numFmtId="0" fontId="56" fillId="0" borderId="41" xfId="0" applyFont="1" applyBorder="1" applyAlignment="1" applyProtection="1">
      <alignment horizontal="right"/>
      <protection locked="0"/>
    </xf>
    <xf numFmtId="0" fontId="56" fillId="24" borderId="41" xfId="0" applyFont="1" applyFill="1" applyBorder="1" applyAlignment="1" applyProtection="1">
      <alignment horizontal="center"/>
      <protection locked="0"/>
    </xf>
    <xf numFmtId="0" fontId="24" fillId="24" borderId="40" xfId="0" applyFont="1" applyFill="1" applyBorder="1" applyAlignment="1" applyProtection="1">
      <alignment horizontal="left" wrapText="1"/>
      <protection locked="0"/>
    </xf>
    <xf numFmtId="0" fontId="56" fillId="0" borderId="41" xfId="0" applyFont="1" applyFill="1" applyBorder="1" applyAlignment="1" applyProtection="1">
      <alignment horizontal="center"/>
      <protection locked="0"/>
    </xf>
    <xf numFmtId="0" fontId="56" fillId="0" borderId="50" xfId="0" applyFont="1" applyBorder="1" applyAlignment="1" applyProtection="1">
      <alignment horizontal="center"/>
      <protection locked="0"/>
    </xf>
    <xf numFmtId="0" fontId="24" fillId="24" borderId="62" xfId="0" applyFont="1" applyFill="1" applyBorder="1" applyAlignment="1" applyProtection="1">
      <alignment horizontal="left" wrapText="1"/>
      <protection locked="0"/>
    </xf>
    <xf numFmtId="0" fontId="56" fillId="0" borderId="74" xfId="0" applyFont="1" applyBorder="1" applyAlignment="1" applyProtection="1">
      <alignment horizontal="center"/>
      <protection locked="0"/>
    </xf>
    <xf numFmtId="0" fontId="56" fillId="0" borderId="90" xfId="0" applyFont="1" applyBorder="1" applyAlignment="1" applyProtection="1">
      <alignment horizontal="center"/>
      <protection locked="0"/>
    </xf>
    <xf numFmtId="0" fontId="56" fillId="0" borderId="184" xfId="0" applyFont="1" applyBorder="1" applyAlignment="1" applyProtection="1">
      <alignment horizontal="center"/>
      <protection locked="0"/>
    </xf>
    <xf numFmtId="3" fontId="27" fillId="0" borderId="62" xfId="0" applyNumberFormat="1" applyFont="1" applyFill="1" applyBorder="1" applyAlignment="1" applyProtection="1">
      <protection locked="0"/>
    </xf>
    <xf numFmtId="3" fontId="27" fillId="0" borderId="183" xfId="0" applyNumberFormat="1" applyFont="1" applyFill="1" applyBorder="1" applyAlignment="1" applyProtection="1">
      <protection locked="0"/>
    </xf>
    <xf numFmtId="3" fontId="27" fillId="0" borderId="91" xfId="0" applyNumberFormat="1" applyFont="1" applyFill="1" applyBorder="1" applyAlignment="1" applyProtection="1">
      <protection locked="0"/>
    </xf>
    <xf numFmtId="3" fontId="27" fillId="17" borderId="62" xfId="0" applyNumberFormat="1" applyFont="1" applyFill="1" applyBorder="1" applyAlignment="1" applyProtection="1">
      <protection locked="0"/>
    </xf>
    <xf numFmtId="3" fontId="27" fillId="17" borderId="183" xfId="0" applyNumberFormat="1" applyFont="1" applyFill="1" applyBorder="1" applyAlignment="1" applyProtection="1">
      <protection locked="0"/>
    </xf>
    <xf numFmtId="3" fontId="9" fillId="17" borderId="90" xfId="0" applyNumberFormat="1" applyFont="1" applyFill="1" applyBorder="1" applyAlignment="1" applyProtection="1">
      <protection locked="0"/>
    </xf>
    <xf numFmtId="3" fontId="27" fillId="0" borderId="90" xfId="0" applyNumberFormat="1" applyFont="1" applyFill="1" applyBorder="1" applyAlignment="1" applyProtection="1">
      <protection locked="0"/>
    </xf>
    <xf numFmtId="3" fontId="27" fillId="10" borderId="74" xfId="0" applyNumberFormat="1" applyFont="1" applyFill="1" applyBorder="1" applyAlignment="1" applyProtection="1">
      <protection locked="0"/>
    </xf>
    <xf numFmtId="0" fontId="55" fillId="0" borderId="54" xfId="0" applyFont="1" applyBorder="1"/>
    <xf numFmtId="0" fontId="56" fillId="7" borderId="13" xfId="0" applyFont="1" applyFill="1" applyBorder="1"/>
    <xf numFmtId="3" fontId="27" fillId="0" borderId="83" xfId="0" applyNumberFormat="1" applyFont="1" applyFill="1" applyBorder="1" applyAlignment="1"/>
    <xf numFmtId="0" fontId="55" fillId="0" borderId="63" xfId="0" applyFont="1" applyBorder="1"/>
    <xf numFmtId="0" fontId="56" fillId="27" borderId="3" xfId="0" applyFont="1" applyFill="1" applyBorder="1"/>
    <xf numFmtId="0" fontId="56" fillId="7" borderId="124" xfId="0" applyFont="1" applyFill="1" applyBorder="1"/>
    <xf numFmtId="0" fontId="24" fillId="3" borderId="40" xfId="0" applyFont="1" applyFill="1" applyBorder="1" applyAlignment="1" applyProtection="1">
      <alignment horizontal="left" wrapText="1"/>
      <protection locked="0"/>
    </xf>
    <xf numFmtId="0" fontId="56" fillId="0" borderId="61" xfId="0" applyFont="1" applyBorder="1" applyAlignment="1">
      <alignment horizontal="center"/>
    </xf>
    <xf numFmtId="0" fontId="56" fillId="0" borderId="2" xfId="0" applyFont="1" applyBorder="1" applyAlignment="1">
      <alignment horizontal="center"/>
    </xf>
    <xf numFmtId="0" fontId="56" fillId="0" borderId="2" xfId="0" applyFont="1" applyFill="1" applyBorder="1" applyAlignment="1">
      <alignment horizontal="center"/>
    </xf>
    <xf numFmtId="0" fontId="56" fillId="0" borderId="42" xfId="0" applyFont="1" applyFill="1" applyBorder="1" applyAlignment="1">
      <alignment horizontal="center"/>
    </xf>
    <xf numFmtId="3" fontId="57" fillId="0" borderId="45" xfId="0" applyNumberFormat="1" applyFont="1" applyFill="1" applyBorder="1" applyAlignment="1" applyProtection="1">
      <protection locked="0"/>
    </xf>
    <xf numFmtId="3" fontId="57" fillId="10" borderId="45" xfId="0" applyNumberFormat="1" applyFont="1" applyFill="1" applyBorder="1" applyAlignment="1" applyProtection="1">
      <protection locked="0"/>
    </xf>
    <xf numFmtId="0" fontId="57" fillId="0" borderId="0" xfId="0" applyFont="1"/>
    <xf numFmtId="3" fontId="57" fillId="12" borderId="36" xfId="0" applyNumberFormat="1" applyFont="1" applyFill="1" applyBorder="1" applyAlignment="1"/>
    <xf numFmtId="3" fontId="57" fillId="12" borderId="46" xfId="0" applyNumberFormat="1" applyFont="1" applyFill="1" applyBorder="1" applyAlignment="1"/>
    <xf numFmtId="3" fontId="57" fillId="6" borderId="61" xfId="0" applyNumberFormat="1" applyFont="1" applyFill="1" applyBorder="1" applyAlignment="1"/>
    <xf numFmtId="3" fontId="57" fillId="12" borderId="2" xfId="0" applyNumberFormat="1" applyFont="1" applyFill="1" applyBorder="1" applyAlignment="1"/>
    <xf numFmtId="3" fontId="57" fillId="12" borderId="42" xfId="0" applyNumberFormat="1" applyFont="1" applyFill="1" applyBorder="1" applyAlignment="1"/>
    <xf numFmtId="3" fontId="57" fillId="6" borderId="46" xfId="0" applyNumberFormat="1" applyFont="1" applyFill="1" applyBorder="1" applyAlignment="1"/>
    <xf numFmtId="0" fontId="56" fillId="28" borderId="57" xfId="0" applyFont="1" applyFill="1" applyBorder="1"/>
    <xf numFmtId="0" fontId="56" fillId="0" borderId="58" xfId="0" applyFont="1" applyBorder="1" applyAlignment="1">
      <alignment horizontal="center"/>
    </xf>
    <xf numFmtId="0" fontId="56" fillId="0" borderId="88" xfId="0" applyFont="1" applyFill="1" applyBorder="1" applyAlignment="1">
      <alignment horizontal="center"/>
    </xf>
    <xf numFmtId="3" fontId="70" fillId="0" borderId="68" xfId="0" applyNumberFormat="1" applyFont="1" applyFill="1" applyBorder="1" applyAlignment="1" applyProtection="1">
      <protection locked="0"/>
    </xf>
    <xf numFmtId="0" fontId="24" fillId="0" borderId="54" xfId="0" applyFont="1" applyFill="1" applyBorder="1"/>
    <xf numFmtId="0" fontId="55" fillId="0" borderId="45" xfId="0" applyFont="1" applyFill="1" applyBorder="1"/>
    <xf numFmtId="0" fontId="56" fillId="9" borderId="232" xfId="0" applyFont="1" applyFill="1" applyBorder="1" applyProtection="1">
      <protection locked="0"/>
    </xf>
    <xf numFmtId="0" fontId="24" fillId="3" borderId="55" xfId="0" applyFont="1" applyFill="1" applyBorder="1" applyAlignment="1" applyProtection="1">
      <alignment horizontal="left" wrapText="1"/>
      <protection locked="0"/>
    </xf>
    <xf numFmtId="0" fontId="56" fillId="0" borderId="68" xfId="0" applyFont="1" applyBorder="1" applyAlignment="1" applyProtection="1">
      <alignment horizontal="center"/>
      <protection locked="0"/>
    </xf>
    <xf numFmtId="0" fontId="24" fillId="0" borderId="233" xfId="0" applyFont="1" applyBorder="1"/>
    <xf numFmtId="0" fontId="55" fillId="0" borderId="4" xfId="0" applyFont="1" applyBorder="1"/>
    <xf numFmtId="0" fontId="56" fillId="16" borderId="17" xfId="0" applyFont="1" applyFill="1" applyBorder="1"/>
    <xf numFmtId="0" fontId="56" fillId="7" borderId="19" xfId="0" applyFont="1" applyFill="1" applyBorder="1"/>
    <xf numFmtId="0" fontId="56" fillId="0" borderId="128" xfId="0" applyFont="1" applyBorder="1" applyAlignment="1">
      <alignment horizontal="center"/>
    </xf>
    <xf numFmtId="0" fontId="56" fillId="0" borderId="193" xfId="0" applyFont="1" applyBorder="1" applyAlignment="1">
      <alignment horizontal="center"/>
    </xf>
    <xf numFmtId="0" fontId="56" fillId="0" borderId="193" xfId="0" applyFont="1" applyFill="1" applyBorder="1" applyAlignment="1">
      <alignment horizontal="center"/>
    </xf>
    <xf numFmtId="0" fontId="56" fillId="0" borderId="194" xfId="0" applyFont="1" applyFill="1" applyBorder="1" applyAlignment="1">
      <alignment horizontal="center"/>
    </xf>
    <xf numFmtId="3" fontId="57" fillId="12" borderId="129" xfId="0" applyNumberFormat="1" applyFont="1" applyFill="1" applyBorder="1" applyAlignment="1"/>
    <xf numFmtId="3" fontId="57" fillId="12" borderId="227" xfId="0" applyNumberFormat="1" applyFont="1" applyFill="1" applyBorder="1" applyAlignment="1"/>
    <xf numFmtId="3" fontId="57" fillId="21" borderId="129" xfId="0" applyNumberFormat="1" applyFont="1" applyFill="1" applyBorder="1" applyAlignment="1"/>
    <xf numFmtId="3" fontId="9" fillId="21" borderId="193" xfId="0" applyNumberFormat="1" applyFont="1" applyFill="1" applyBorder="1" applyAlignment="1"/>
    <xf numFmtId="3" fontId="57" fillId="12" borderId="193" xfId="0" applyNumberFormat="1" applyFont="1" applyFill="1" applyBorder="1" applyAlignment="1"/>
    <xf numFmtId="3" fontId="57" fillId="6" borderId="128" xfId="0" applyNumberFormat="1" applyFont="1" applyFill="1" applyBorder="1" applyAlignment="1"/>
    <xf numFmtId="3" fontId="57" fillId="12" borderId="194" xfId="0" applyNumberFormat="1" applyFont="1" applyFill="1" applyBorder="1" applyAlignment="1"/>
    <xf numFmtId="3" fontId="9" fillId="21" borderId="189" xfId="0" applyNumberFormat="1" applyFont="1" applyFill="1" applyBorder="1" applyAlignment="1"/>
    <xf numFmtId="0" fontId="56" fillId="0" borderId="189" xfId="0" applyFont="1" applyBorder="1" applyAlignment="1">
      <alignment horizontal="center"/>
    </xf>
    <xf numFmtId="0" fontId="56" fillId="27" borderId="1" xfId="0" applyFont="1" applyFill="1" applyBorder="1"/>
    <xf numFmtId="0" fontId="24" fillId="3" borderId="55" xfId="0" applyFont="1" applyFill="1" applyBorder="1" applyAlignment="1">
      <alignment wrapText="1"/>
    </xf>
    <xf numFmtId="0" fontId="56" fillId="0" borderId="120" xfId="0" applyFont="1" applyFill="1" applyBorder="1" applyAlignment="1">
      <alignment horizontal="center"/>
    </xf>
    <xf numFmtId="0" fontId="56" fillId="0" borderId="121" xfId="0" applyFont="1" applyFill="1" applyBorder="1" applyAlignment="1">
      <alignment horizontal="center"/>
    </xf>
    <xf numFmtId="3" fontId="57" fillId="12" borderId="123" xfId="0" applyNumberFormat="1" applyFont="1" applyFill="1" applyBorder="1" applyAlignment="1"/>
    <xf numFmtId="3" fontId="57" fillId="12" borderId="124" xfId="0" applyNumberFormat="1" applyFont="1" applyFill="1" applyBorder="1" applyAlignment="1"/>
    <xf numFmtId="3" fontId="57" fillId="21" borderId="123" xfId="0" applyNumberFormat="1" applyFont="1" applyFill="1" applyBorder="1" applyAlignment="1"/>
    <xf numFmtId="3" fontId="57" fillId="12" borderId="121" xfId="0" applyNumberFormat="1" applyFont="1" applyFill="1" applyBorder="1" applyAlignment="1"/>
    <xf numFmtId="3" fontId="57" fillId="6" borderId="120" xfId="0" applyNumberFormat="1" applyFont="1" applyFill="1" applyBorder="1" applyAlignment="1"/>
    <xf numFmtId="3" fontId="57" fillId="12" borderId="122" xfId="0" applyNumberFormat="1" applyFont="1" applyFill="1" applyBorder="1" applyAlignment="1"/>
    <xf numFmtId="0" fontId="24" fillId="3" borderId="83" xfId="0" applyFont="1" applyFill="1" applyBorder="1" applyAlignment="1">
      <alignment wrapText="1"/>
    </xf>
    <xf numFmtId="0" fontId="56" fillId="0" borderId="70" xfId="0" applyFont="1" applyFill="1" applyBorder="1" applyAlignment="1">
      <alignment horizontal="center"/>
    </xf>
    <xf numFmtId="0" fontId="56" fillId="0" borderId="71" xfId="0" applyFont="1" applyFill="1" applyBorder="1" applyAlignment="1">
      <alignment horizontal="center"/>
    </xf>
    <xf numFmtId="0" fontId="56" fillId="0" borderId="77" xfId="0" applyFont="1" applyFill="1" applyBorder="1" applyAlignment="1">
      <alignment horizontal="center"/>
    </xf>
    <xf numFmtId="3" fontId="57" fillId="0" borderId="62" xfId="0" applyNumberFormat="1" applyFont="1" applyFill="1" applyBorder="1" applyAlignment="1" applyProtection="1"/>
    <xf numFmtId="3" fontId="57" fillId="12" borderId="73" xfId="0" applyNumberFormat="1" applyFont="1" applyFill="1" applyBorder="1" applyAlignment="1"/>
    <xf numFmtId="3" fontId="57" fillId="12" borderId="72" xfId="0" applyNumberFormat="1" applyFont="1" applyFill="1" applyBorder="1" applyAlignment="1"/>
    <xf numFmtId="3" fontId="57" fillId="17" borderId="62" xfId="0" applyNumberFormat="1" applyFont="1" applyFill="1" applyBorder="1" applyAlignment="1" applyProtection="1"/>
    <xf numFmtId="3" fontId="57" fillId="21" borderId="73" xfId="0" applyNumberFormat="1" applyFont="1" applyFill="1" applyBorder="1" applyAlignment="1"/>
    <xf numFmtId="3" fontId="57" fillId="0" borderId="90" xfId="0" applyNumberFormat="1" applyFont="1" applyFill="1" applyBorder="1" applyAlignment="1" applyProtection="1">
      <protection locked="0"/>
    </xf>
    <xf numFmtId="3" fontId="57" fillId="0" borderId="91" xfId="0" applyNumberFormat="1" applyFont="1" applyFill="1" applyBorder="1" applyAlignment="1" applyProtection="1">
      <protection locked="0"/>
    </xf>
    <xf numFmtId="3" fontId="57" fillId="10" borderId="74" xfId="0" applyNumberFormat="1" applyFont="1" applyFill="1" applyBorder="1" applyAlignment="1" applyProtection="1">
      <protection locked="0"/>
    </xf>
    <xf numFmtId="3" fontId="57" fillId="12" borderId="71" xfId="0" applyNumberFormat="1" applyFont="1" applyFill="1" applyBorder="1" applyAlignment="1"/>
    <xf numFmtId="3" fontId="57" fillId="6" borderId="70" xfId="0" applyNumberFormat="1" applyFont="1" applyFill="1" applyBorder="1" applyAlignment="1"/>
    <xf numFmtId="3" fontId="57" fillId="12" borderId="77" xfId="0" applyNumberFormat="1" applyFont="1" applyFill="1" applyBorder="1" applyAlignment="1"/>
    <xf numFmtId="0" fontId="22" fillId="0" borderId="45" xfId="0" applyFont="1" applyFill="1" applyBorder="1"/>
    <xf numFmtId="0" fontId="56" fillId="9" borderId="225" xfId="0" applyFont="1" applyFill="1" applyBorder="1"/>
    <xf numFmtId="0" fontId="56" fillId="9" borderId="234" xfId="0" applyFont="1" applyFill="1" applyBorder="1"/>
    <xf numFmtId="0" fontId="24" fillId="3" borderId="97" xfId="0" applyFont="1" applyFill="1" applyBorder="1" applyAlignment="1">
      <alignment wrapText="1"/>
    </xf>
    <xf numFmtId="0" fontId="56" fillId="0" borderId="89" xfId="0" applyFont="1" applyFill="1" applyBorder="1" applyAlignment="1">
      <alignment horizontal="center"/>
    </xf>
    <xf numFmtId="0" fontId="56" fillId="0" borderId="57" xfId="0" applyFont="1" applyFill="1" applyBorder="1" applyAlignment="1">
      <alignment horizontal="center"/>
    </xf>
    <xf numFmtId="0" fontId="24" fillId="0" borderId="40" xfId="0" applyFont="1" applyBorder="1" applyAlignment="1" applyProtection="1">
      <alignment horizontal="left" wrapText="1"/>
      <protection locked="0"/>
    </xf>
    <xf numFmtId="0" fontId="56" fillId="0" borderId="59" xfId="0" applyFont="1" applyFill="1" applyBorder="1" applyAlignment="1" applyProtection="1">
      <alignment horizontal="center"/>
      <protection locked="0"/>
    </xf>
    <xf numFmtId="3" fontId="57" fillId="0" borderId="46" xfId="0" applyNumberFormat="1" applyFont="1" applyFill="1" applyBorder="1" applyAlignment="1" applyProtection="1">
      <protection locked="0"/>
    </xf>
    <xf numFmtId="3" fontId="57" fillId="10" borderId="89" xfId="0" applyNumberFormat="1" applyFont="1" applyFill="1" applyBorder="1" applyAlignment="1" applyProtection="1">
      <protection locked="0"/>
    </xf>
    <xf numFmtId="0" fontId="56" fillId="26" borderId="59" xfId="0" applyFont="1" applyFill="1" applyBorder="1"/>
    <xf numFmtId="0" fontId="22" fillId="0" borderId="47" xfId="0" applyFont="1" applyFill="1" applyBorder="1"/>
    <xf numFmtId="0" fontId="56" fillId="0" borderId="57" xfId="0" applyFont="1" applyBorder="1" applyAlignment="1">
      <alignment horizontal="center"/>
    </xf>
    <xf numFmtId="3" fontId="57" fillId="0" borderId="40" xfId="0" applyNumberFormat="1" applyFont="1" applyFill="1" applyBorder="1" applyAlignment="1"/>
    <xf numFmtId="3" fontId="57" fillId="0" borderId="36" xfId="0" applyNumberFormat="1" applyFont="1" applyFill="1" applyBorder="1" applyAlignment="1"/>
    <xf numFmtId="3" fontId="57" fillId="17" borderId="40" xfId="0" applyNumberFormat="1" applyFont="1" applyFill="1" applyBorder="1" applyAlignment="1"/>
    <xf numFmtId="3" fontId="57" fillId="17" borderId="36" xfId="0" applyNumberFormat="1" applyFont="1" applyFill="1" applyBorder="1" applyAlignment="1"/>
    <xf numFmtId="3" fontId="57" fillId="0" borderId="46" xfId="0" applyNumberFormat="1" applyFont="1" applyFill="1" applyBorder="1" applyAlignment="1"/>
    <xf numFmtId="3" fontId="57" fillId="10" borderId="130" xfId="0" applyNumberFormat="1" applyFont="1" applyFill="1" applyBorder="1" applyAlignment="1"/>
    <xf numFmtId="0" fontId="72" fillId="0" borderId="0" xfId="0" applyFont="1" applyBorder="1"/>
    <xf numFmtId="0" fontId="72" fillId="0" borderId="46" xfId="0" applyFont="1" applyBorder="1"/>
    <xf numFmtId="0" fontId="55" fillId="0" borderId="60" xfId="0" applyFont="1" applyBorder="1"/>
    <xf numFmtId="0" fontId="56" fillId="16" borderId="3" xfId="0" applyFont="1" applyFill="1" applyBorder="1"/>
    <xf numFmtId="0" fontId="56" fillId="7" borderId="49" xfId="0" applyFont="1" applyFill="1" applyBorder="1"/>
    <xf numFmtId="0" fontId="22" fillId="3" borderId="40" xfId="0" applyFont="1" applyFill="1" applyBorder="1"/>
    <xf numFmtId="0" fontId="56" fillId="0" borderId="41" xfId="0" applyFont="1" applyBorder="1" applyAlignment="1">
      <alignment horizontal="center"/>
    </xf>
    <xf numFmtId="0" fontId="56" fillId="0" borderId="37" xfId="0" applyFont="1" applyBorder="1" applyAlignment="1">
      <alignment horizontal="center"/>
    </xf>
    <xf numFmtId="3" fontId="70" fillId="0" borderId="46" xfId="0" applyNumberFormat="1" applyFont="1" applyFill="1" applyBorder="1" applyAlignment="1"/>
    <xf numFmtId="3" fontId="57" fillId="10" borderId="61" xfId="0" applyNumberFormat="1" applyFont="1" applyFill="1" applyBorder="1" applyAlignment="1"/>
    <xf numFmtId="0" fontId="56" fillId="0" borderId="144" xfId="0" applyFont="1" applyBorder="1" applyAlignment="1">
      <alignment horizontal="center"/>
    </xf>
    <xf numFmtId="0" fontId="56" fillId="0" borderId="145" xfId="0" applyFont="1" applyBorder="1" applyAlignment="1">
      <alignment horizontal="center"/>
    </xf>
    <xf numFmtId="0" fontId="56" fillId="0" borderId="188" xfId="0" applyFont="1" applyBorder="1" applyAlignment="1">
      <alignment horizontal="center"/>
    </xf>
    <xf numFmtId="3" fontId="57" fillId="0" borderId="47" xfId="0" applyNumberFormat="1" applyFont="1" applyFill="1" applyBorder="1" applyAlignment="1"/>
    <xf numFmtId="3" fontId="57" fillId="0" borderId="52" xfId="0" applyNumberFormat="1" applyFont="1" applyFill="1" applyBorder="1" applyAlignment="1"/>
    <xf numFmtId="3" fontId="57" fillId="0" borderId="53" xfId="0" applyNumberFormat="1" applyFont="1" applyFill="1" applyBorder="1" applyAlignment="1" applyProtection="1">
      <protection locked="0"/>
    </xf>
    <xf numFmtId="3" fontId="57" fillId="17" borderId="69" xfId="0" applyNumberFormat="1" applyFont="1" applyFill="1" applyBorder="1" applyAlignment="1"/>
    <xf numFmtId="3" fontId="57" fillId="17" borderId="52" xfId="0" applyNumberFormat="1" applyFont="1" applyFill="1" applyBorder="1" applyAlignment="1"/>
    <xf numFmtId="3" fontId="9" fillId="17" borderId="51" xfId="0" applyNumberFormat="1" applyFont="1" applyFill="1" applyBorder="1" applyAlignment="1"/>
    <xf numFmtId="3" fontId="57" fillId="0" borderId="51" xfId="0" applyNumberFormat="1" applyFont="1" applyFill="1" applyBorder="1" applyAlignment="1"/>
    <xf numFmtId="3" fontId="70" fillId="0" borderId="60" xfId="0" applyNumberFormat="1" applyFont="1" applyFill="1" applyBorder="1" applyAlignment="1"/>
    <xf numFmtId="3" fontId="57" fillId="10" borderId="111" xfId="0" applyNumberFormat="1" applyFont="1" applyFill="1" applyBorder="1" applyAlignment="1"/>
    <xf numFmtId="3" fontId="57" fillId="0" borderId="186" xfId="0" applyNumberFormat="1" applyFont="1" applyFill="1" applyBorder="1" applyAlignment="1"/>
    <xf numFmtId="3" fontId="57" fillId="10" borderId="187" xfId="0" applyNumberFormat="1" applyFont="1" applyFill="1" applyBorder="1" applyAlignment="1"/>
    <xf numFmtId="3" fontId="57" fillId="0" borderId="145" xfId="0" applyNumberFormat="1" applyFont="1" applyFill="1" applyBorder="1" applyAlignment="1"/>
    <xf numFmtId="3" fontId="57" fillId="0" borderId="188" xfId="0" applyNumberFormat="1" applyFont="1" applyFill="1" applyBorder="1" applyAlignment="1"/>
    <xf numFmtId="3" fontId="57" fillId="10" borderId="144" xfId="0" applyNumberFormat="1" applyFont="1" applyFill="1" applyBorder="1" applyAlignment="1"/>
    <xf numFmtId="0" fontId="56" fillId="16" borderId="121" xfId="0" applyFont="1" applyFill="1" applyBorder="1"/>
    <xf numFmtId="0" fontId="22" fillId="0" borderId="62" xfId="0" applyFont="1" applyFill="1" applyBorder="1"/>
    <xf numFmtId="0" fontId="24" fillId="0" borderId="62" xfId="0" applyFont="1" applyBorder="1" applyAlignment="1" applyProtection="1">
      <alignment horizontal="left" wrapText="1"/>
      <protection locked="0"/>
    </xf>
    <xf numFmtId="0" fontId="56" fillId="0" borderId="74" xfId="0" applyFont="1" applyBorder="1" applyAlignment="1">
      <alignment horizontal="center"/>
    </xf>
    <xf numFmtId="0" fontId="56" fillId="0" borderId="90" xfId="0" applyFont="1" applyBorder="1" applyAlignment="1">
      <alignment horizontal="center"/>
    </xf>
    <xf numFmtId="0" fontId="56" fillId="0" borderId="184" xfId="0" applyFont="1" applyBorder="1" applyAlignment="1">
      <alignment horizontal="center"/>
    </xf>
    <xf numFmtId="3" fontId="57" fillId="0" borderId="62" xfId="0" applyNumberFormat="1" applyFont="1" applyFill="1" applyBorder="1" applyAlignment="1"/>
    <xf numFmtId="3" fontId="57" fillId="0" borderId="183" xfId="0" applyNumberFormat="1" applyFont="1" applyFill="1" applyBorder="1" applyAlignment="1"/>
    <xf numFmtId="3" fontId="57" fillId="0" borderId="184" xfId="0" applyNumberFormat="1" applyFont="1" applyFill="1" applyBorder="1" applyAlignment="1" applyProtection="1">
      <protection locked="0"/>
    </xf>
    <xf numFmtId="3" fontId="57" fillId="17" borderId="183" xfId="0" applyNumberFormat="1" applyFont="1" applyFill="1" applyBorder="1" applyAlignment="1"/>
    <xf numFmtId="3" fontId="57" fillId="0" borderId="140" xfId="0" applyNumberFormat="1" applyFont="1" applyFill="1" applyBorder="1" applyAlignment="1"/>
    <xf numFmtId="3" fontId="57" fillId="10" borderId="102" xfId="0" applyNumberFormat="1" applyFont="1" applyFill="1" applyBorder="1" applyAlignment="1"/>
    <xf numFmtId="3" fontId="57" fillId="0" borderId="90" xfId="0" applyNumberFormat="1" applyFont="1" applyFill="1" applyBorder="1" applyAlignment="1"/>
    <xf numFmtId="3" fontId="57" fillId="0" borderId="91" xfId="0" applyNumberFormat="1" applyFont="1" applyFill="1" applyBorder="1" applyAlignment="1"/>
    <xf numFmtId="3" fontId="57" fillId="10" borderId="183" xfId="0" applyNumberFormat="1" applyFont="1" applyFill="1" applyBorder="1" applyAlignment="1"/>
    <xf numFmtId="3" fontId="57" fillId="0" borderId="184" xfId="0" applyNumberFormat="1" applyFont="1" applyFill="1" applyBorder="1" applyAlignment="1"/>
    <xf numFmtId="3" fontId="57" fillId="10" borderId="74" xfId="0" applyNumberFormat="1" applyFont="1" applyFill="1" applyBorder="1" applyAlignment="1"/>
    <xf numFmtId="3" fontId="35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22" fillId="0" borderId="54" xfId="0" applyFont="1" applyFill="1" applyBorder="1"/>
    <xf numFmtId="0" fontId="56" fillId="9" borderId="225" xfId="0" applyFont="1" applyFill="1" applyBorder="1" applyProtection="1">
      <protection locked="0"/>
    </xf>
    <xf numFmtId="0" fontId="56" fillId="9" borderId="226" xfId="0" applyFont="1" applyFill="1" applyBorder="1" applyProtection="1">
      <protection locked="0"/>
    </xf>
    <xf numFmtId="0" fontId="24" fillId="3" borderId="137" xfId="0" applyFont="1" applyFill="1" applyBorder="1" applyAlignment="1">
      <alignment wrapText="1"/>
    </xf>
    <xf numFmtId="0" fontId="56" fillId="0" borderId="34" xfId="0" applyFont="1" applyBorder="1" applyAlignment="1" applyProtection="1">
      <alignment horizontal="center"/>
      <protection locked="0"/>
    </xf>
    <xf numFmtId="0" fontId="56" fillId="0" borderId="182" xfId="0" applyFont="1" applyBorder="1" applyAlignment="1" applyProtection="1">
      <alignment horizontal="center"/>
      <protection locked="0"/>
    </xf>
    <xf numFmtId="3" fontId="57" fillId="0" borderId="27" xfId="0" applyNumberFormat="1" applyFont="1" applyFill="1" applyBorder="1" applyAlignment="1" applyProtection="1"/>
    <xf numFmtId="3" fontId="57" fillId="0" borderId="152" xfId="0" applyNumberFormat="1" applyFont="1" applyFill="1" applyBorder="1" applyAlignment="1" applyProtection="1">
      <protection locked="0"/>
    </xf>
    <xf numFmtId="3" fontId="57" fillId="0" borderId="35" xfId="0" applyNumberFormat="1" applyFont="1" applyFill="1" applyBorder="1" applyAlignment="1" applyProtection="1">
      <protection locked="0"/>
    </xf>
    <xf numFmtId="3" fontId="57" fillId="17" borderId="27" xfId="0" applyNumberFormat="1" applyFont="1" applyFill="1" applyBorder="1" applyAlignment="1" applyProtection="1"/>
    <xf numFmtId="3" fontId="57" fillId="17" borderId="152" xfId="0" applyNumberFormat="1" applyFont="1" applyFill="1" applyBorder="1" applyAlignment="1" applyProtection="1">
      <protection locked="0"/>
    </xf>
    <xf numFmtId="3" fontId="9" fillId="17" borderId="34" xfId="0" applyNumberFormat="1" applyFont="1" applyFill="1" applyBorder="1" applyAlignment="1" applyProtection="1">
      <protection locked="0"/>
    </xf>
    <xf numFmtId="3" fontId="57" fillId="0" borderId="34" xfId="0" applyNumberFormat="1" applyFont="1" applyFill="1" applyBorder="1" applyAlignment="1" applyProtection="1">
      <protection locked="0"/>
    </xf>
    <xf numFmtId="3" fontId="57" fillId="10" borderId="33" xfId="0" applyNumberFormat="1" applyFont="1" applyFill="1" applyBorder="1" applyAlignment="1" applyProtection="1">
      <protection locked="0"/>
    </xf>
    <xf numFmtId="0" fontId="56" fillId="0" borderId="33" xfId="0" applyFont="1" applyBorder="1" applyAlignment="1" applyProtection="1">
      <alignment horizontal="center"/>
      <protection locked="0"/>
    </xf>
    <xf numFmtId="3" fontId="57" fillId="6" borderId="28" xfId="0" applyNumberFormat="1" applyFont="1" applyFill="1" applyBorder="1" applyAlignment="1"/>
    <xf numFmtId="3" fontId="57" fillId="0" borderId="30" xfId="0" applyNumberFormat="1" applyFont="1" applyFill="1" applyBorder="1" applyAlignment="1"/>
    <xf numFmtId="0" fontId="72" fillId="0" borderId="4" xfId="0" applyFont="1" applyBorder="1"/>
    <xf numFmtId="0" fontId="55" fillId="0" borderId="0" xfId="0" applyFont="1" applyBorder="1"/>
    <xf numFmtId="0" fontId="56" fillId="0" borderId="191" xfId="0" applyFont="1" applyBorder="1" applyAlignment="1">
      <alignment horizontal="center"/>
    </xf>
    <xf numFmtId="3" fontId="57" fillId="0" borderId="38" xfId="0" applyNumberFormat="1" applyFont="1" applyFill="1" applyBorder="1" applyAlignment="1" applyProtection="1"/>
    <xf numFmtId="3" fontId="57" fillId="17" borderId="38" xfId="0" applyNumberFormat="1" applyFont="1" applyFill="1" applyBorder="1" applyAlignment="1" applyProtection="1"/>
    <xf numFmtId="0" fontId="72" fillId="0" borderId="54" xfId="0" applyFont="1" applyBorder="1"/>
    <xf numFmtId="0" fontId="0" fillId="0" borderId="150" xfId="0" applyBorder="1"/>
    <xf numFmtId="0" fontId="0" fillId="0" borderId="150" xfId="0" applyFill="1" applyBorder="1"/>
    <xf numFmtId="0" fontId="55" fillId="0" borderId="59" xfId="0" applyFont="1" applyBorder="1"/>
    <xf numFmtId="0" fontId="56" fillId="27" borderId="126" xfId="0" applyFont="1" applyFill="1" applyBorder="1"/>
    <xf numFmtId="0" fontId="56" fillId="7" borderId="178" xfId="0" applyFont="1" applyFill="1" applyBorder="1"/>
    <xf numFmtId="0" fontId="22" fillId="2" borderId="179" xfId="0" applyFont="1" applyFill="1" applyBorder="1"/>
    <xf numFmtId="0" fontId="24" fillId="2" borderId="179" xfId="0" applyFont="1" applyFill="1" applyBorder="1" applyAlignment="1">
      <alignment wrapText="1"/>
    </xf>
    <xf numFmtId="0" fontId="56" fillId="0" borderId="126" xfId="0" applyFont="1" applyBorder="1" applyAlignment="1">
      <alignment horizontal="center"/>
    </xf>
    <xf numFmtId="0" fontId="56" fillId="0" borderId="17" xfId="0" applyFont="1" applyBorder="1" applyAlignment="1">
      <alignment horizontal="center"/>
    </xf>
    <xf numFmtId="0" fontId="56" fillId="0" borderId="19" xfId="0" applyFont="1" applyBorder="1" applyAlignment="1">
      <alignment horizontal="center"/>
    </xf>
    <xf numFmtId="3" fontId="27" fillId="0" borderId="126" xfId="0" applyNumberFormat="1" applyFont="1" applyFill="1" applyBorder="1" applyAlignment="1"/>
    <xf numFmtId="3" fontId="27" fillId="21" borderId="126" xfId="0" applyNumberFormat="1" applyFont="1" applyFill="1" applyBorder="1" applyAlignment="1"/>
    <xf numFmtId="3" fontId="9" fillId="21" borderId="17" xfId="0" applyNumberFormat="1" applyFont="1" applyFill="1" applyBorder="1" applyAlignment="1"/>
    <xf numFmtId="0" fontId="55" fillId="0" borderId="85" xfId="0" applyFont="1" applyBorder="1"/>
    <xf numFmtId="0" fontId="56" fillId="16" borderId="79" xfId="0" applyFont="1" applyFill="1" applyBorder="1"/>
    <xf numFmtId="0" fontId="56" fillId="7" borderId="82" xfId="0" applyFont="1" applyFill="1" applyBorder="1"/>
    <xf numFmtId="0" fontId="22" fillId="3" borderId="101" xfId="0" applyFont="1" applyFill="1" applyBorder="1"/>
    <xf numFmtId="0" fontId="24" fillId="3" borderId="38" xfId="0" applyFont="1" applyFill="1" applyBorder="1" applyAlignment="1" applyProtection="1">
      <alignment horizontal="left" wrapText="1"/>
      <protection locked="0"/>
    </xf>
    <xf numFmtId="0" fontId="56" fillId="0" borderId="78" xfId="0" applyFont="1" applyBorder="1" applyAlignment="1">
      <alignment horizontal="center"/>
    </xf>
    <xf numFmtId="0" fontId="56" fillId="0" borderId="79" xfId="0" applyFont="1" applyBorder="1" applyAlignment="1">
      <alignment horizontal="center"/>
    </xf>
    <xf numFmtId="0" fontId="56" fillId="0" borderId="79" xfId="0" applyFont="1" applyFill="1" applyBorder="1" applyAlignment="1">
      <alignment horizontal="center"/>
    </xf>
    <xf numFmtId="0" fontId="56" fillId="0" borderId="80" xfId="0" applyFont="1" applyFill="1" applyBorder="1" applyAlignment="1">
      <alignment horizontal="center"/>
    </xf>
    <xf numFmtId="3" fontId="57" fillId="12" borderId="81" xfId="0" applyNumberFormat="1" applyFont="1" applyFill="1" applyBorder="1" applyAlignment="1"/>
    <xf numFmtId="3" fontId="57" fillId="12" borderId="82" xfId="0" applyNumberFormat="1" applyFont="1" applyFill="1" applyBorder="1" applyAlignment="1"/>
    <xf numFmtId="3" fontId="57" fillId="21" borderId="81" xfId="0" applyNumberFormat="1" applyFont="1" applyFill="1" applyBorder="1" applyAlignment="1"/>
    <xf numFmtId="3" fontId="9" fillId="21" borderId="79" xfId="0" applyNumberFormat="1" applyFont="1" applyFill="1" applyBorder="1" applyAlignment="1"/>
    <xf numFmtId="3" fontId="57" fillId="12" borderId="79" xfId="0" applyNumberFormat="1" applyFont="1" applyFill="1" applyBorder="1" applyAlignment="1"/>
    <xf numFmtId="3" fontId="57" fillId="6" borderId="78" xfId="0" applyNumberFormat="1" applyFont="1" applyFill="1" applyBorder="1" applyAlignment="1"/>
    <xf numFmtId="3" fontId="57" fillId="12" borderId="80" xfId="0" applyNumberFormat="1" applyFont="1" applyFill="1" applyBorder="1" applyAlignment="1"/>
    <xf numFmtId="0" fontId="24" fillId="0" borderId="85" xfId="0" applyFont="1" applyBorder="1"/>
    <xf numFmtId="0" fontId="56" fillId="26" borderId="2" xfId="0" applyFont="1" applyFill="1" applyBorder="1"/>
    <xf numFmtId="0" fontId="24" fillId="0" borderId="40" xfId="0" applyFont="1" applyBorder="1" applyAlignment="1">
      <alignment horizontal="left" wrapText="1"/>
    </xf>
    <xf numFmtId="0" fontId="56" fillId="0" borderId="36" xfId="0" applyFont="1" applyBorder="1" applyAlignment="1">
      <alignment horizontal="center"/>
    </xf>
    <xf numFmtId="0" fontId="56" fillId="0" borderId="68" xfId="0" applyFont="1" applyBorder="1" applyAlignment="1">
      <alignment horizontal="center"/>
    </xf>
    <xf numFmtId="3" fontId="57" fillId="10" borderId="61" xfId="0" applyNumberFormat="1" applyFont="1" applyFill="1" applyBorder="1" applyAlignment="1" applyProtection="1">
      <protection locked="0"/>
    </xf>
    <xf numFmtId="3" fontId="57" fillId="10" borderId="36" xfId="0" applyNumberFormat="1" applyFont="1" applyFill="1" applyBorder="1" applyAlignment="1" applyProtection="1">
      <protection locked="0"/>
    </xf>
    <xf numFmtId="3" fontId="9" fillId="17" borderId="36" xfId="0" applyNumberFormat="1" applyFont="1" applyFill="1" applyBorder="1" applyAlignment="1" applyProtection="1">
      <protection locked="0"/>
    </xf>
    <xf numFmtId="3" fontId="57" fillId="17" borderId="47" xfId="0" applyNumberFormat="1" applyFont="1" applyFill="1" applyBorder="1" applyAlignment="1" applyProtection="1"/>
    <xf numFmtId="3" fontId="9" fillId="17" borderId="51" xfId="0" applyNumberFormat="1" applyFont="1" applyFill="1" applyBorder="1" applyAlignment="1" applyProtection="1">
      <protection locked="0"/>
    </xf>
    <xf numFmtId="0" fontId="56" fillId="9" borderId="235" xfId="0" applyFont="1" applyFill="1" applyBorder="1" applyProtection="1">
      <protection locked="0"/>
    </xf>
    <xf numFmtId="0" fontId="56" fillId="9" borderId="236" xfId="0" applyFont="1" applyFill="1" applyBorder="1" applyProtection="1">
      <protection locked="0"/>
    </xf>
    <xf numFmtId="0" fontId="24" fillId="0" borderId="40" xfId="0" applyFont="1" applyFill="1" applyBorder="1" applyAlignment="1" applyProtection="1">
      <alignment horizontal="left" vertical="center" wrapText="1"/>
      <protection locked="0"/>
    </xf>
    <xf numFmtId="3" fontId="70" fillId="0" borderId="88" xfId="0" applyNumberFormat="1" applyFont="1" applyFill="1" applyBorder="1" applyAlignment="1" applyProtection="1">
      <protection locked="0"/>
    </xf>
    <xf numFmtId="0" fontId="56" fillId="27" borderId="136" xfId="0" applyFont="1" applyFill="1" applyBorder="1"/>
    <xf numFmtId="0" fontId="56" fillId="7" borderId="134" xfId="0" applyFont="1" applyFill="1" applyBorder="1"/>
    <xf numFmtId="0" fontId="22" fillId="0" borderId="38" xfId="0" applyFont="1" applyFill="1" applyBorder="1"/>
    <xf numFmtId="0" fontId="67" fillId="0" borderId="101" xfId="1" applyFont="1" applyFill="1" applyBorder="1" applyAlignment="1" applyProtection="1">
      <alignment wrapText="1"/>
      <protection locked="0"/>
    </xf>
    <xf numFmtId="0" fontId="56" fillId="0" borderId="64" xfId="0" applyFont="1" applyBorder="1" applyAlignment="1" applyProtection="1">
      <alignment horizontal="center"/>
      <protection locked="0"/>
    </xf>
    <xf numFmtId="0" fontId="56" fillId="0" borderId="65" xfId="0" applyFont="1" applyBorder="1" applyAlignment="1" applyProtection="1">
      <alignment horizontal="center"/>
      <protection locked="0"/>
    </xf>
    <xf numFmtId="0" fontId="56" fillId="0" borderId="237" xfId="0" applyFont="1" applyBorder="1" applyAlignment="1" applyProtection="1">
      <alignment horizontal="center"/>
      <protection locked="0"/>
    </xf>
    <xf numFmtId="3" fontId="57" fillId="0" borderId="66" xfId="0" applyNumberFormat="1" applyFont="1" applyFill="1" applyBorder="1" applyAlignment="1" applyProtection="1">
      <protection locked="0"/>
    </xf>
    <xf numFmtId="3" fontId="57" fillId="0" borderId="94" xfId="0" applyNumberFormat="1" applyFont="1" applyFill="1" applyBorder="1" applyAlignment="1" applyProtection="1">
      <protection locked="0"/>
    </xf>
    <xf numFmtId="3" fontId="57" fillId="17" borderId="66" xfId="0" applyNumberFormat="1" applyFont="1" applyFill="1" applyBorder="1" applyAlignment="1" applyProtection="1">
      <protection locked="0"/>
    </xf>
    <xf numFmtId="3" fontId="9" fillId="17" borderId="65" xfId="0" applyNumberFormat="1" applyFont="1" applyFill="1" applyBorder="1" applyAlignment="1" applyProtection="1">
      <protection locked="0"/>
    </xf>
    <xf numFmtId="3" fontId="57" fillId="0" borderId="65" xfId="0" applyNumberFormat="1" applyFont="1" applyFill="1" applyBorder="1" applyAlignment="1" applyProtection="1">
      <protection locked="0"/>
    </xf>
    <xf numFmtId="3" fontId="57" fillId="10" borderId="64" xfId="0" applyNumberFormat="1" applyFont="1" applyFill="1" applyBorder="1" applyAlignment="1" applyProtection="1">
      <protection locked="0"/>
    </xf>
    <xf numFmtId="3" fontId="57" fillId="6" borderId="81" xfId="0" applyNumberFormat="1" applyFont="1" applyFill="1" applyBorder="1" applyAlignment="1"/>
    <xf numFmtId="3" fontId="57" fillId="0" borderId="79" xfId="0" applyNumberFormat="1" applyFont="1" applyFill="1" applyBorder="1" applyAlignment="1"/>
    <xf numFmtId="3" fontId="57" fillId="0" borderId="238" xfId="0" applyNumberFormat="1" applyFont="1" applyFill="1" applyBorder="1" applyAlignment="1"/>
    <xf numFmtId="0" fontId="72" fillId="0" borderId="45" xfId="0" applyFont="1" applyBorder="1"/>
    <xf numFmtId="3" fontId="57" fillId="17" borderId="69" xfId="0" applyNumberFormat="1" applyFont="1" applyFill="1" applyBorder="1" applyAlignment="1" applyProtection="1"/>
    <xf numFmtId="0" fontId="56" fillId="0" borderId="138" xfId="0" applyFont="1" applyBorder="1" applyAlignment="1" applyProtection="1">
      <alignment horizontal="center"/>
      <protection locked="0"/>
    </xf>
    <xf numFmtId="0" fontId="56" fillId="0" borderId="139" xfId="0" applyFont="1" applyBorder="1" applyAlignment="1" applyProtection="1">
      <alignment horizontal="center"/>
      <protection locked="0"/>
    </xf>
    <xf numFmtId="0" fontId="56" fillId="0" borderId="146" xfId="0" applyFont="1" applyBorder="1" applyAlignment="1" applyProtection="1">
      <alignment horizontal="center"/>
      <protection locked="0"/>
    </xf>
    <xf numFmtId="3" fontId="9" fillId="17" borderId="139" xfId="0" applyNumberFormat="1" applyFont="1" applyFill="1" applyBorder="1" applyAlignment="1" applyProtection="1">
      <protection locked="0"/>
    </xf>
    <xf numFmtId="3" fontId="57" fillId="0" borderId="139" xfId="0" applyNumberFormat="1" applyFont="1" applyFill="1" applyBorder="1" applyAlignment="1" applyProtection="1">
      <protection locked="0"/>
    </xf>
    <xf numFmtId="0" fontId="22" fillId="2" borderId="83" xfId="0" applyFont="1" applyFill="1" applyBorder="1"/>
    <xf numFmtId="0" fontId="24" fillId="2" borderId="83" xfId="0" applyFont="1" applyFill="1" applyBorder="1" applyAlignment="1">
      <alignment wrapText="1"/>
    </xf>
    <xf numFmtId="0" fontId="56" fillId="0" borderId="190" xfId="0" applyFont="1" applyBorder="1" applyAlignment="1">
      <alignment horizontal="center"/>
    </xf>
    <xf numFmtId="3" fontId="27" fillId="0" borderId="191" xfId="0" applyNumberFormat="1" applyFont="1" applyFill="1" applyBorder="1" applyAlignment="1"/>
    <xf numFmtId="3" fontId="27" fillId="0" borderId="192" xfId="0" applyNumberFormat="1" applyFont="1" applyFill="1" applyBorder="1" applyAlignment="1"/>
    <xf numFmtId="3" fontId="27" fillId="21" borderId="191" xfId="0" applyNumberFormat="1" applyFont="1" applyFill="1" applyBorder="1" applyAlignment="1"/>
    <xf numFmtId="3" fontId="27" fillId="0" borderId="189" xfId="0" applyNumberFormat="1" applyFont="1" applyFill="1" applyBorder="1" applyAlignment="1"/>
    <xf numFmtId="3" fontId="27" fillId="0" borderId="239" xfId="0" applyNumberFormat="1" applyFont="1" applyFill="1" applyBorder="1" applyAlignment="1"/>
    <xf numFmtId="3" fontId="27" fillId="6" borderId="191" xfId="0" applyNumberFormat="1" applyFont="1" applyFill="1" applyBorder="1" applyAlignment="1"/>
    <xf numFmtId="0" fontId="22" fillId="0" borderId="61" xfId="0" applyFont="1" applyFill="1" applyBorder="1" applyProtection="1">
      <protection locked="0"/>
    </xf>
    <xf numFmtId="0" fontId="24" fillId="0" borderId="55" xfId="0" applyFont="1" applyBorder="1" applyAlignment="1" applyProtection="1">
      <alignment wrapText="1"/>
      <protection locked="0"/>
    </xf>
    <xf numFmtId="0" fontId="56" fillId="0" borderId="58" xfId="0" applyFont="1" applyBorder="1" applyAlignment="1" applyProtection="1">
      <alignment horizontal="center"/>
      <protection locked="0"/>
    </xf>
    <xf numFmtId="0" fontId="56" fillId="0" borderId="88" xfId="0" applyFont="1" applyBorder="1" applyAlignment="1" applyProtection="1">
      <alignment horizontal="center"/>
      <protection locked="0"/>
    </xf>
    <xf numFmtId="3" fontId="70" fillId="0" borderId="94" xfId="0" applyNumberFormat="1" applyFont="1" applyFill="1" applyBorder="1" applyAlignment="1" applyProtection="1">
      <protection locked="0"/>
    </xf>
    <xf numFmtId="0" fontId="56" fillId="26" borderId="240" xfId="0" applyFont="1" applyFill="1" applyBorder="1"/>
    <xf numFmtId="0" fontId="56" fillId="9" borderId="241" xfId="0" applyFont="1" applyFill="1" applyBorder="1"/>
    <xf numFmtId="0" fontId="22" fillId="0" borderId="83" xfId="0" applyFont="1" applyFill="1" applyBorder="1"/>
    <xf numFmtId="0" fontId="67" fillId="0" borderId="83" xfId="1" applyFont="1" applyFill="1" applyBorder="1" applyAlignment="1" applyProtection="1">
      <alignment wrapText="1"/>
      <protection locked="0"/>
    </xf>
    <xf numFmtId="3" fontId="57" fillId="0" borderId="83" xfId="0" applyNumberFormat="1" applyFont="1" applyFill="1" applyBorder="1" applyAlignment="1"/>
    <xf numFmtId="3" fontId="57" fillId="0" borderId="138" xfId="0" applyNumberFormat="1" applyFont="1" applyFill="1" applyBorder="1" applyAlignment="1"/>
    <xf numFmtId="3" fontId="57" fillId="0" borderId="146" xfId="0" applyNumberFormat="1" applyFont="1" applyFill="1" applyBorder="1" applyAlignment="1"/>
    <xf numFmtId="3" fontId="57" fillId="17" borderId="83" xfId="0" applyNumberFormat="1" applyFont="1" applyFill="1" applyBorder="1" applyAlignment="1"/>
    <xf numFmtId="3" fontId="57" fillId="17" borderId="230" xfId="0" applyNumberFormat="1" applyFont="1" applyFill="1" applyBorder="1" applyAlignment="1"/>
    <xf numFmtId="3" fontId="9" fillId="17" borderId="139" xfId="0" applyNumberFormat="1" applyFont="1" applyFill="1" applyBorder="1" applyAlignment="1"/>
    <xf numFmtId="3" fontId="57" fillId="0" borderId="139" xfId="0" applyNumberFormat="1" applyFont="1" applyFill="1" applyBorder="1" applyAlignment="1"/>
    <xf numFmtId="3" fontId="57" fillId="0" borderId="231" xfId="0" applyNumberFormat="1" applyFont="1" applyFill="1" applyBorder="1" applyAlignment="1"/>
    <xf numFmtId="3" fontId="57" fillId="10" borderId="138" xfId="0" applyNumberFormat="1" applyFont="1" applyFill="1" applyBorder="1" applyAlignment="1"/>
    <xf numFmtId="0" fontId="56" fillId="9" borderId="242" xfId="0" applyFont="1" applyFill="1" applyBorder="1" applyProtection="1">
      <protection locked="0"/>
    </xf>
    <xf numFmtId="0" fontId="56" fillId="9" borderId="243" xfId="0" applyFont="1" applyFill="1" applyBorder="1" applyProtection="1">
      <protection locked="0"/>
    </xf>
    <xf numFmtId="0" fontId="56" fillId="9" borderId="188" xfId="0" applyFont="1" applyFill="1" applyBorder="1" applyProtection="1">
      <protection locked="0"/>
    </xf>
    <xf numFmtId="0" fontId="56" fillId="9" borderId="88" xfId="0" applyFont="1" applyFill="1" applyBorder="1"/>
    <xf numFmtId="0" fontId="22" fillId="23" borderId="55" xfId="0" applyFont="1" applyFill="1" applyBorder="1"/>
    <xf numFmtId="3" fontId="57" fillId="0" borderId="58" xfId="0" applyNumberFormat="1" applyFont="1" applyFill="1" applyBorder="1" applyAlignment="1"/>
    <xf numFmtId="3" fontId="57" fillId="17" borderId="130" xfId="0" applyNumberFormat="1" applyFont="1" applyFill="1" applyBorder="1" applyAlignment="1"/>
    <xf numFmtId="0" fontId="24" fillId="3" borderId="69" xfId="0" applyFont="1" applyFill="1" applyBorder="1" applyAlignment="1">
      <alignment wrapText="1"/>
    </xf>
    <xf numFmtId="0" fontId="56" fillId="27" borderId="2" xfId="0" applyFont="1" applyFill="1" applyBorder="1"/>
    <xf numFmtId="3" fontId="57" fillId="0" borderId="183" xfId="0" applyNumberFormat="1" applyFont="1" applyFill="1" applyBorder="1" applyAlignment="1" applyProtection="1">
      <protection locked="0"/>
    </xf>
    <xf numFmtId="3" fontId="57" fillId="17" borderId="183" xfId="0" applyNumberFormat="1" applyFont="1" applyFill="1" applyBorder="1" applyAlignment="1" applyProtection="1">
      <protection locked="0"/>
    </xf>
    <xf numFmtId="0" fontId="69" fillId="23" borderId="40" xfId="0" applyFont="1" applyFill="1" applyBorder="1"/>
    <xf numFmtId="0" fontId="24" fillId="3" borderId="42" xfId="0" applyFont="1" applyFill="1" applyBorder="1" applyAlignment="1">
      <alignment wrapText="1"/>
    </xf>
    <xf numFmtId="0" fontId="56" fillId="0" borderId="124" xfId="0" applyFont="1" applyFill="1" applyBorder="1" applyAlignment="1">
      <alignment horizontal="center"/>
    </xf>
    <xf numFmtId="3" fontId="73" fillId="0" borderId="40" xfId="0" applyNumberFormat="1" applyFont="1" applyFill="1" applyBorder="1" applyAlignment="1" applyProtection="1"/>
    <xf numFmtId="0" fontId="24" fillId="3" borderId="40" xfId="0" applyFont="1" applyFill="1" applyBorder="1" applyAlignment="1">
      <alignment wrapText="1"/>
    </xf>
    <xf numFmtId="0" fontId="56" fillId="0" borderId="53" xfId="0" applyFont="1" applyBorder="1" applyAlignment="1" applyProtection="1">
      <alignment horizontal="center"/>
      <protection locked="0"/>
    </xf>
    <xf numFmtId="0" fontId="56" fillId="0" borderId="183" xfId="0" applyFont="1" applyFill="1" applyBorder="1" applyAlignment="1">
      <alignment horizontal="center"/>
    </xf>
    <xf numFmtId="0" fontId="56" fillId="0" borderId="90" xfId="0" applyFont="1" applyFill="1" applyBorder="1" applyAlignment="1">
      <alignment horizontal="center"/>
    </xf>
    <xf numFmtId="0" fontId="56" fillId="0" borderId="90" xfId="0" applyFont="1" applyFill="1" applyBorder="1" applyAlignment="1" applyProtection="1">
      <alignment horizontal="center"/>
      <protection locked="0"/>
    </xf>
    <xf numFmtId="0" fontId="55" fillId="0" borderId="140" xfId="0" applyFont="1" applyBorder="1"/>
    <xf numFmtId="0" fontId="56" fillId="26" borderId="90" xfId="0" applyFont="1" applyFill="1" applyBorder="1"/>
    <xf numFmtId="0" fontId="24" fillId="0" borderId="140" xfId="0" applyFont="1" applyBorder="1"/>
    <xf numFmtId="0" fontId="22" fillId="0" borderId="100" xfId="0" applyFont="1" applyFill="1" applyBorder="1"/>
    <xf numFmtId="0" fontId="24" fillId="0" borderId="27" xfId="0" applyFont="1" applyFill="1" applyBorder="1" applyAlignment="1">
      <alignment wrapText="1"/>
    </xf>
    <xf numFmtId="0" fontId="56" fillId="0" borderId="31" xfId="0" applyFont="1" applyBorder="1" applyAlignment="1">
      <alignment horizontal="center"/>
    </xf>
    <xf numFmtId="0" fontId="56" fillId="0" borderId="30" xfId="0" applyFont="1" applyBorder="1" applyAlignment="1">
      <alignment horizontal="center"/>
    </xf>
    <xf numFmtId="0" fontId="56" fillId="0" borderId="30" xfId="0" applyFont="1" applyFill="1" applyBorder="1" applyAlignment="1">
      <alignment horizontal="center"/>
    </xf>
    <xf numFmtId="0" fontId="56" fillId="0" borderId="32" xfId="0" applyFont="1" applyFill="1" applyBorder="1" applyAlignment="1">
      <alignment horizontal="center"/>
    </xf>
    <xf numFmtId="3" fontId="57" fillId="0" borderId="28" xfId="0" applyNumberFormat="1" applyFont="1" applyFill="1" applyBorder="1" applyAlignment="1"/>
    <xf numFmtId="3" fontId="57" fillId="0" borderId="29" xfId="0" applyNumberFormat="1" applyFont="1" applyFill="1" applyBorder="1" applyAlignment="1"/>
    <xf numFmtId="3" fontId="57" fillId="21" borderId="28" xfId="0" applyNumberFormat="1" applyFont="1" applyFill="1" applyBorder="1" applyAlignment="1"/>
    <xf numFmtId="3" fontId="9" fillId="21" borderId="28" xfId="0" applyNumberFormat="1" applyFont="1" applyFill="1" applyBorder="1" applyAlignment="1"/>
    <xf numFmtId="3" fontId="57" fillId="0" borderId="32" xfId="0" applyNumberFormat="1" applyFont="1" applyFill="1" applyBorder="1" applyAlignment="1"/>
    <xf numFmtId="3" fontId="57" fillId="6" borderId="31" xfId="0" applyNumberFormat="1" applyFont="1" applyFill="1" applyBorder="1" applyAlignment="1"/>
    <xf numFmtId="0" fontId="72" fillId="0" borderId="150" xfId="0" applyFont="1" applyBorder="1"/>
    <xf numFmtId="3" fontId="57" fillId="12" borderId="91" xfId="0" applyNumberFormat="1" applyFont="1" applyFill="1" applyBorder="1" applyAlignment="1"/>
    <xf numFmtId="3" fontId="57" fillId="6" borderId="74" xfId="0" applyNumberFormat="1" applyFont="1" applyFill="1" applyBorder="1" applyAlignment="1"/>
    <xf numFmtId="3" fontId="57" fillId="12" borderId="90" xfId="0" applyNumberFormat="1" applyFont="1" applyFill="1" applyBorder="1" applyAlignment="1"/>
    <xf numFmtId="3" fontId="57" fillId="12" borderId="184" xfId="0" applyNumberFormat="1" applyFont="1" applyFill="1" applyBorder="1" applyAlignment="1"/>
    <xf numFmtId="0" fontId="56" fillId="0" borderId="138" xfId="0" applyFont="1" applyBorder="1" applyAlignment="1">
      <alignment horizontal="center"/>
    </xf>
    <xf numFmtId="0" fontId="56" fillId="0" borderId="139" xfId="0" applyFont="1" applyFill="1" applyBorder="1" applyAlignment="1">
      <alignment horizontal="center"/>
    </xf>
    <xf numFmtId="0" fontId="56" fillId="0" borderId="146" xfId="0" applyFont="1" applyFill="1" applyBorder="1" applyAlignment="1">
      <alignment horizontal="center"/>
    </xf>
    <xf numFmtId="3" fontId="57" fillId="12" borderId="228" xfId="0" applyNumberFormat="1" applyFont="1" applyFill="1" applyBorder="1" applyAlignment="1"/>
    <xf numFmtId="3" fontId="57" fillId="12" borderId="146" xfId="0" applyNumberFormat="1" applyFont="1" applyFill="1" applyBorder="1" applyAlignment="1"/>
    <xf numFmtId="3" fontId="57" fillId="21" borderId="138" xfId="0" applyNumberFormat="1" applyFont="1" applyFill="1" applyBorder="1" applyAlignment="1"/>
    <xf numFmtId="3" fontId="57" fillId="6" borderId="138" xfId="0" applyNumberFormat="1" applyFont="1" applyFill="1" applyBorder="1" applyAlignment="1"/>
    <xf numFmtId="3" fontId="57" fillId="12" borderId="139" xfId="0" applyNumberFormat="1" applyFont="1" applyFill="1" applyBorder="1" applyAlignment="1"/>
    <xf numFmtId="3" fontId="57" fillId="12" borderId="231" xfId="0" applyNumberFormat="1" applyFont="1" applyFill="1" applyBorder="1" applyAlignment="1"/>
    <xf numFmtId="3" fontId="57" fillId="12" borderId="83" xfId="0" applyNumberFormat="1" applyFont="1" applyFill="1" applyBorder="1" applyAlignment="1"/>
    <xf numFmtId="0" fontId="55" fillId="0" borderId="54" xfId="0" applyFont="1" applyFill="1" applyBorder="1"/>
    <xf numFmtId="0" fontId="22" fillId="0" borderId="27" xfId="0" applyFont="1" applyFill="1" applyBorder="1" applyProtection="1">
      <protection locked="0"/>
    </xf>
    <xf numFmtId="0" fontId="24" fillId="0" borderId="27" xfId="0" applyFont="1" applyFill="1" applyBorder="1" applyAlignment="1">
      <alignment horizontal="left" wrapText="1"/>
    </xf>
    <xf numFmtId="0" fontId="24" fillId="3" borderId="136" xfId="0" applyFont="1" applyFill="1" applyBorder="1" applyAlignment="1">
      <alignment wrapText="1"/>
    </xf>
    <xf numFmtId="0" fontId="56" fillId="0" borderId="67" xfId="0" applyFont="1" applyBorder="1" applyAlignment="1">
      <alignment horizontal="center"/>
    </xf>
    <xf numFmtId="0" fontId="56" fillId="0" borderId="48" xfId="0" applyFont="1" applyBorder="1" applyAlignment="1">
      <alignment horizontal="center"/>
    </xf>
    <xf numFmtId="0" fontId="56" fillId="0" borderId="45" xfId="0" applyFont="1" applyFill="1" applyBorder="1" applyAlignment="1" applyProtection="1">
      <alignment horizontal="center"/>
      <protection locked="0"/>
    </xf>
    <xf numFmtId="3" fontId="9" fillId="21" borderId="2" xfId="0" applyNumberFormat="1" applyFont="1" applyFill="1" applyBorder="1" applyAlignment="1"/>
    <xf numFmtId="3" fontId="57" fillId="12" borderId="68" xfId="0" applyNumberFormat="1" applyFont="1" applyFill="1" applyBorder="1" applyAlignment="1"/>
    <xf numFmtId="3" fontId="57" fillId="6" borderId="41" xfId="0" applyNumberFormat="1" applyFont="1" applyFill="1" applyBorder="1" applyAlignment="1"/>
    <xf numFmtId="0" fontId="56" fillId="0" borderId="132" xfId="0" applyFont="1" applyBorder="1" applyAlignment="1">
      <alignment horizontal="center"/>
    </xf>
    <xf numFmtId="0" fontId="56" fillId="0" borderId="136" xfId="0" applyFont="1" applyBorder="1" applyAlignment="1">
      <alignment horizontal="center"/>
    </xf>
    <xf numFmtId="0" fontId="71" fillId="0" borderId="27" xfId="0" applyFont="1" applyFill="1" applyBorder="1" applyAlignment="1"/>
    <xf numFmtId="0" fontId="24" fillId="0" borderId="87" xfId="0" applyFont="1" applyBorder="1" applyAlignment="1">
      <alignment horizontal="left" wrapText="1"/>
    </xf>
    <xf numFmtId="0" fontId="56" fillId="0" borderId="28" xfId="0" applyFont="1" applyBorder="1" applyAlignment="1">
      <alignment horizontal="center"/>
    </xf>
    <xf numFmtId="0" fontId="56" fillId="0" borderId="34" xfId="0" applyFont="1" applyFill="1" applyBorder="1" applyAlignment="1" applyProtection="1">
      <alignment horizontal="center"/>
      <protection locked="0"/>
    </xf>
    <xf numFmtId="0" fontId="56" fillId="0" borderId="149" xfId="0" applyFont="1" applyFill="1" applyBorder="1" applyAlignment="1" applyProtection="1">
      <alignment horizontal="center"/>
      <protection locked="0"/>
    </xf>
    <xf numFmtId="3" fontId="9" fillId="21" borderId="34" xfId="0" applyNumberFormat="1" applyFont="1" applyFill="1" applyBorder="1" applyAlignment="1"/>
    <xf numFmtId="3" fontId="57" fillId="12" borderId="35" xfId="0" applyNumberFormat="1" applyFont="1" applyFill="1" applyBorder="1" applyAlignment="1"/>
    <xf numFmtId="3" fontId="57" fillId="6" borderId="33" xfId="0" applyNumberFormat="1" applyFont="1" applyFill="1" applyBorder="1" applyAlignment="1"/>
    <xf numFmtId="3" fontId="57" fillId="10" borderId="100" xfId="0" applyNumberFormat="1" applyFont="1" applyFill="1" applyBorder="1" applyAlignment="1" applyProtection="1">
      <protection locked="0"/>
    </xf>
    <xf numFmtId="0" fontId="24" fillId="0" borderId="55" xfId="0" applyFont="1" applyBorder="1" applyAlignment="1">
      <alignment horizontal="left" wrapText="1"/>
    </xf>
    <xf numFmtId="0" fontId="56" fillId="0" borderId="89" xfId="0" applyFont="1" applyBorder="1" applyAlignment="1">
      <alignment horizontal="center"/>
    </xf>
    <xf numFmtId="0" fontId="55" fillId="0" borderId="149" xfId="0" applyFont="1" applyBorder="1"/>
    <xf numFmtId="0" fontId="56" fillId="26" borderId="34" xfId="0" applyFont="1" applyFill="1" applyBorder="1"/>
    <xf numFmtId="0" fontId="56" fillId="9" borderId="182" xfId="0" applyFont="1" applyFill="1" applyBorder="1"/>
    <xf numFmtId="0" fontId="24" fillId="0" borderId="149" xfId="0" applyFont="1" applyBorder="1"/>
    <xf numFmtId="0" fontId="56" fillId="9" borderId="184" xfId="0" applyFont="1" applyFill="1" applyBorder="1"/>
    <xf numFmtId="0" fontId="24" fillId="0" borderId="62" xfId="0" applyFont="1" applyBorder="1" applyAlignment="1">
      <alignment horizontal="left" wrapText="1"/>
    </xf>
    <xf numFmtId="0" fontId="56" fillId="0" borderId="183" xfId="0" applyFont="1" applyBorder="1" applyAlignment="1">
      <alignment horizontal="center"/>
    </xf>
    <xf numFmtId="0" fontId="56" fillId="0" borderId="91" xfId="0" applyFont="1" applyBorder="1" applyAlignment="1">
      <alignment horizontal="center"/>
    </xf>
    <xf numFmtId="3" fontId="9" fillId="17" borderId="183" xfId="0" applyNumberFormat="1" applyFont="1" applyFill="1" applyBorder="1" applyAlignment="1" applyProtection="1">
      <protection locked="0"/>
    </xf>
    <xf numFmtId="3" fontId="57" fillId="10" borderId="102" xfId="0" applyNumberFormat="1" applyFont="1" applyFill="1" applyBorder="1" applyAlignment="1" applyProtection="1">
      <protection locked="0"/>
    </xf>
    <xf numFmtId="3" fontId="57" fillId="10" borderId="183" xfId="0" applyNumberFormat="1" applyFont="1" applyFill="1" applyBorder="1" applyAlignment="1" applyProtection="1">
      <protection locked="0"/>
    </xf>
    <xf numFmtId="0" fontId="56" fillId="27" borderId="43" xfId="0" applyFont="1" applyFill="1" applyBorder="1"/>
    <xf numFmtId="0" fontId="56" fillId="7" borderId="227" xfId="0" applyFont="1" applyFill="1" applyBorder="1"/>
    <xf numFmtId="0" fontId="56" fillId="0" borderId="130" xfId="0" applyFont="1" applyBorder="1" applyAlignment="1">
      <alignment horizontal="center"/>
    </xf>
    <xf numFmtId="0" fontId="56" fillId="0" borderId="56" xfId="0" applyFont="1" applyFill="1" applyBorder="1" applyAlignment="1">
      <alignment horizontal="center"/>
    </xf>
    <xf numFmtId="0" fontId="24" fillId="3" borderId="56" xfId="0" applyFont="1" applyFill="1" applyBorder="1" applyAlignment="1">
      <alignment wrapText="1"/>
    </xf>
    <xf numFmtId="0" fontId="56" fillId="0" borderId="228" xfId="0" applyFont="1" applyBorder="1" applyAlignment="1" applyProtection="1">
      <alignment horizontal="center"/>
      <protection locked="0"/>
    </xf>
    <xf numFmtId="0" fontId="56" fillId="0" borderId="231" xfId="0" applyFont="1" applyBorder="1" applyAlignment="1" applyProtection="1">
      <alignment horizontal="center"/>
      <protection locked="0"/>
    </xf>
    <xf numFmtId="3" fontId="57" fillId="17" borderId="90" xfId="0" applyNumberFormat="1" applyFont="1" applyFill="1" applyBorder="1" applyAlignment="1" applyProtection="1">
      <protection locked="0"/>
    </xf>
    <xf numFmtId="3" fontId="57" fillId="6" borderId="183" xfId="0" applyNumberFormat="1" applyFont="1" applyFill="1" applyBorder="1" applyAlignment="1"/>
    <xf numFmtId="3" fontId="9" fillId="21" borderId="90" xfId="0" applyNumberFormat="1" applyFont="1" applyFill="1" applyBorder="1" applyAlignment="1"/>
    <xf numFmtId="3" fontId="57" fillId="21" borderId="183" xfId="0" applyNumberFormat="1" applyFont="1" applyFill="1" applyBorder="1" applyAlignment="1"/>
    <xf numFmtId="3" fontId="57" fillId="21" borderId="62" xfId="0" applyNumberFormat="1" applyFont="1" applyFill="1" applyBorder="1" applyAlignment="1"/>
    <xf numFmtId="0" fontId="24" fillId="0" borderId="62" xfId="0" applyFont="1" applyFill="1" applyBorder="1" applyAlignment="1" applyProtection="1">
      <alignment horizontal="left" wrapText="1"/>
      <protection locked="0"/>
    </xf>
    <xf numFmtId="0" fontId="22" fillId="0" borderId="83" xfId="0" applyFont="1" applyFill="1" applyBorder="1" applyAlignment="1" applyProtection="1">
      <alignment horizontal="center" wrapText="1"/>
      <protection locked="0"/>
    </xf>
    <xf numFmtId="0" fontId="43" fillId="0" borderId="88" xfId="0" applyFont="1" applyFill="1" applyBorder="1" applyAlignment="1"/>
    <xf numFmtId="0" fontId="56" fillId="0" borderId="2" xfId="0" applyFont="1" applyFill="1" applyBorder="1" applyAlignment="1"/>
    <xf numFmtId="0" fontId="22" fillId="0" borderId="2" xfId="0" applyFont="1" applyFill="1" applyBorder="1"/>
    <xf numFmtId="3" fontId="57" fillId="12" borderId="88" xfId="0" applyNumberFormat="1" applyFont="1" applyFill="1" applyBorder="1" applyAlignment="1"/>
    <xf numFmtId="3" fontId="57" fillId="12" borderId="59" xfId="0" applyNumberFormat="1" applyFont="1" applyFill="1" applyBorder="1" applyAlignment="1"/>
    <xf numFmtId="3" fontId="57" fillId="6" borderId="58" xfId="0" applyNumberFormat="1" applyFont="1" applyFill="1" applyBorder="1" applyAlignment="1"/>
    <xf numFmtId="3" fontId="57" fillId="12" borderId="57" xfId="0" applyNumberFormat="1" applyFont="1" applyFill="1" applyBorder="1" applyAlignment="1"/>
    <xf numFmtId="3" fontId="57" fillId="6" borderId="89" xfId="0" applyNumberFormat="1" applyFont="1" applyFill="1" applyBorder="1" applyAlignment="1"/>
    <xf numFmtId="3" fontId="9" fillId="21" borderId="59" xfId="0" applyNumberFormat="1" applyFont="1" applyFill="1" applyBorder="1" applyAlignment="1"/>
    <xf numFmtId="3" fontId="57" fillId="21" borderId="89" xfId="0" applyNumberFormat="1" applyFont="1" applyFill="1" applyBorder="1" applyAlignment="1"/>
    <xf numFmtId="3" fontId="57" fillId="21" borderId="55" xfId="0" applyNumberFormat="1" applyFont="1" applyFill="1" applyBorder="1" applyAlignment="1"/>
    <xf numFmtId="0" fontId="24" fillId="0" borderId="55" xfId="0" applyFont="1" applyFill="1" applyBorder="1" applyAlignment="1" applyProtection="1">
      <alignment horizontal="left" wrapText="1"/>
      <protection locked="0"/>
    </xf>
    <xf numFmtId="0" fontId="22" fillId="0" borderId="55" xfId="0" applyFont="1" applyFill="1" applyBorder="1" applyAlignment="1" applyProtection="1">
      <alignment horizontal="center" wrapText="1"/>
      <protection locked="0"/>
    </xf>
    <xf numFmtId="0" fontId="56" fillId="0" borderId="59" xfId="0" applyFont="1" applyFill="1" applyBorder="1" applyAlignment="1"/>
    <xf numFmtId="0" fontId="22" fillId="0" borderId="59" xfId="0" applyFont="1" applyFill="1" applyBorder="1"/>
    <xf numFmtId="0" fontId="24" fillId="0" borderId="45" xfId="0" applyFont="1" applyFill="1" applyBorder="1"/>
    <xf numFmtId="0" fontId="22" fillId="29" borderId="55" xfId="0" applyFont="1" applyFill="1" applyBorder="1" applyAlignment="1" applyProtection="1">
      <alignment horizontal="center" wrapText="1"/>
      <protection locked="0"/>
    </xf>
    <xf numFmtId="0" fontId="56" fillId="9" borderId="244" xfId="0" applyFont="1" applyFill="1" applyBorder="1" applyProtection="1">
      <protection locked="0"/>
    </xf>
    <xf numFmtId="0" fontId="67" fillId="0" borderId="42" xfId="1" applyFont="1" applyFill="1" applyBorder="1" applyAlignment="1" applyProtection="1">
      <alignment wrapText="1"/>
      <protection locked="0"/>
    </xf>
    <xf numFmtId="0" fontId="22" fillId="0" borderId="46" xfId="0" applyFont="1" applyFill="1" applyBorder="1"/>
    <xf numFmtId="3" fontId="57" fillId="17" borderId="45" xfId="0" applyNumberFormat="1" applyFont="1" applyFill="1" applyBorder="1" applyAlignment="1" applyProtection="1">
      <protection locked="0"/>
    </xf>
    <xf numFmtId="3" fontId="57" fillId="17" borderId="46" xfId="0" applyNumberFormat="1" applyFont="1" applyFill="1" applyBorder="1" applyAlignment="1" applyProtection="1">
      <protection locked="0"/>
    </xf>
    <xf numFmtId="0" fontId="56" fillId="0" borderId="112" xfId="0" applyFont="1" applyBorder="1" applyAlignment="1" applyProtection="1">
      <alignment horizontal="center"/>
      <protection locked="0"/>
    </xf>
    <xf numFmtId="0" fontId="56" fillId="0" borderId="51" xfId="0" applyFont="1" applyBorder="1" applyAlignment="1" applyProtection="1">
      <alignment horizontal="center"/>
      <protection locked="0"/>
    </xf>
    <xf numFmtId="0" fontId="24" fillId="0" borderId="42" xfId="0" applyFont="1" applyFill="1" applyBorder="1" applyAlignment="1">
      <alignment wrapText="1"/>
    </xf>
    <xf numFmtId="0" fontId="67" fillId="11" borderId="56" xfId="1" applyFont="1" applyFill="1" applyBorder="1" applyAlignment="1" applyProtection="1">
      <alignment wrapText="1"/>
      <protection locked="0"/>
    </xf>
    <xf numFmtId="0" fontId="67" fillId="11" borderId="42" xfId="1" applyFont="1" applyFill="1" applyBorder="1" applyAlignment="1" applyProtection="1">
      <alignment wrapText="1"/>
      <protection locked="0"/>
    </xf>
    <xf numFmtId="0" fontId="56" fillId="9" borderId="246" xfId="0" applyFont="1" applyFill="1" applyBorder="1" applyProtection="1">
      <protection locked="0"/>
    </xf>
    <xf numFmtId="0" fontId="56" fillId="9" borderId="247" xfId="0" applyFont="1" applyFill="1" applyBorder="1" applyProtection="1">
      <protection locked="0"/>
    </xf>
    <xf numFmtId="0" fontId="56" fillId="0" borderId="88" xfId="0" applyFont="1" applyFill="1" applyBorder="1" applyAlignment="1" applyProtection="1">
      <alignment horizontal="center" shrinkToFit="1"/>
      <protection locked="0"/>
    </xf>
    <xf numFmtId="0" fontId="56" fillId="0" borderId="59" xfId="0" applyFont="1" applyFill="1" applyBorder="1" applyAlignment="1" applyProtection="1">
      <alignment horizontal="center" shrinkToFit="1"/>
      <protection locked="0"/>
    </xf>
    <xf numFmtId="0" fontId="67" fillId="0" borderId="56" xfId="1" applyFont="1" applyFill="1" applyBorder="1" applyAlignment="1" applyProtection="1">
      <alignment wrapText="1"/>
      <protection locked="0"/>
    </xf>
    <xf numFmtId="0" fontId="24" fillId="2" borderId="217" xfId="0" applyFont="1" applyFill="1" applyBorder="1" applyAlignment="1">
      <alignment wrapText="1"/>
    </xf>
    <xf numFmtId="0" fontId="24" fillId="2" borderId="218" xfId="0" applyFont="1" applyFill="1" applyBorder="1" applyAlignment="1">
      <alignment wrapText="1"/>
    </xf>
    <xf numFmtId="0" fontId="24" fillId="2" borderId="55" xfId="0" applyFont="1" applyFill="1" applyBorder="1" applyAlignment="1">
      <alignment wrapText="1"/>
    </xf>
    <xf numFmtId="0" fontId="67" fillId="0" borderId="55" xfId="0" applyFont="1" applyBorder="1" applyAlignment="1">
      <alignment wrapText="1"/>
    </xf>
    <xf numFmtId="0" fontId="24" fillId="2" borderId="131" xfId="0" applyFont="1" applyFill="1" applyBorder="1" applyAlignment="1">
      <alignment wrapText="1"/>
    </xf>
    <xf numFmtId="0" fontId="67" fillId="11" borderId="95" xfId="1" applyFont="1" applyFill="1" applyBorder="1" applyAlignment="1" applyProtection="1">
      <alignment wrapText="1"/>
      <protection locked="0"/>
    </xf>
    <xf numFmtId="0" fontId="67" fillId="0" borderId="40" xfId="1" applyFont="1" applyFill="1" applyBorder="1" applyAlignment="1" applyProtection="1">
      <alignment wrapText="1"/>
      <protection locked="0"/>
    </xf>
    <xf numFmtId="0" fontId="12" fillId="0" borderId="68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67" fillId="0" borderId="69" xfId="1" applyFont="1" applyFill="1" applyBorder="1" applyAlignment="1" applyProtection="1">
      <alignment wrapText="1"/>
      <protection locked="0"/>
    </xf>
    <xf numFmtId="0" fontId="56" fillId="0" borderId="41" xfId="0" applyFont="1" applyBorder="1" applyAlignment="1" applyProtection="1">
      <alignment horizontal="center" wrapText="1"/>
      <protection locked="0"/>
    </xf>
    <xf numFmtId="0" fontId="56" fillId="9" borderId="236" xfId="0" applyFont="1" applyFill="1" applyBorder="1" applyAlignment="1" applyProtection="1">
      <protection locked="0"/>
    </xf>
    <xf numFmtId="0" fontId="56" fillId="9" borderId="235" xfId="0" applyFont="1" applyFill="1" applyBorder="1" applyAlignment="1" applyProtection="1">
      <protection locked="0"/>
    </xf>
    <xf numFmtId="0" fontId="22" fillId="0" borderId="233" xfId="0" applyFont="1" applyFill="1" applyBorder="1"/>
    <xf numFmtId="0" fontId="56" fillId="30" borderId="226" xfId="0" applyFont="1" applyFill="1" applyBorder="1" applyProtection="1">
      <protection locked="0"/>
    </xf>
    <xf numFmtId="0" fontId="56" fillId="30" borderId="225" xfId="0" applyFont="1" applyFill="1" applyBorder="1" applyProtection="1">
      <protection locked="0"/>
    </xf>
    <xf numFmtId="0" fontId="22" fillId="0" borderId="63" xfId="0" applyFont="1" applyFill="1" applyBorder="1"/>
    <xf numFmtId="3" fontId="9" fillId="17" borderId="46" xfId="0" applyNumberFormat="1" applyFont="1" applyFill="1" applyBorder="1" applyAlignment="1" applyProtection="1"/>
    <xf numFmtId="3" fontId="57" fillId="17" borderId="41" xfId="0" applyNumberFormat="1" applyFont="1" applyFill="1" applyBorder="1" applyAlignment="1" applyProtection="1">
      <protection locked="0"/>
    </xf>
    <xf numFmtId="0" fontId="75" fillId="0" borderId="37" xfId="0" applyFont="1" applyBorder="1" applyAlignment="1" applyProtection="1">
      <alignment horizontal="center"/>
      <protection locked="0"/>
    </xf>
    <xf numFmtId="0" fontId="75" fillId="0" borderId="2" xfId="0" applyFont="1" applyBorder="1" applyAlignment="1" applyProtection="1">
      <alignment horizontal="center"/>
      <protection locked="0"/>
    </xf>
    <xf numFmtId="0" fontId="67" fillId="0" borderId="42" xfId="0" applyFont="1" applyBorder="1" applyAlignment="1" applyProtection="1">
      <alignment wrapText="1"/>
      <protection locked="0"/>
    </xf>
    <xf numFmtId="0" fontId="67" fillId="31" borderId="42" xfId="0" applyFont="1" applyFill="1" applyBorder="1" applyAlignment="1" applyProtection="1">
      <alignment horizontal="left" wrapText="1"/>
      <protection locked="0"/>
    </xf>
    <xf numFmtId="0" fontId="56" fillId="9" borderId="251" xfId="0" applyFont="1" applyFill="1" applyBorder="1" applyProtection="1">
      <protection locked="0"/>
    </xf>
    <xf numFmtId="0" fontId="56" fillId="9" borderId="252" xfId="0" applyFont="1" applyFill="1" applyBorder="1" applyProtection="1">
      <protection locked="0"/>
    </xf>
    <xf numFmtId="0" fontId="75" fillId="0" borderId="59" xfId="0" applyFont="1" applyBorder="1" applyAlignment="1" applyProtection="1">
      <alignment horizontal="center"/>
      <protection locked="0"/>
    </xf>
    <xf numFmtId="0" fontId="67" fillId="31" borderId="42" xfId="0" applyFont="1" applyFill="1" applyBorder="1" applyAlignment="1" applyProtection="1">
      <alignment wrapText="1"/>
      <protection locked="0"/>
    </xf>
    <xf numFmtId="3" fontId="9" fillId="17" borderId="89" xfId="0" applyNumberFormat="1" applyFont="1" applyFill="1" applyBorder="1" applyAlignment="1" applyProtection="1">
      <protection locked="0"/>
    </xf>
    <xf numFmtId="3" fontId="57" fillId="17" borderId="58" xfId="0" applyNumberFormat="1" applyFont="1" applyFill="1" applyBorder="1" applyAlignment="1" applyProtection="1">
      <protection locked="0"/>
    </xf>
    <xf numFmtId="3" fontId="57" fillId="17" borderId="119" xfId="0" applyNumberFormat="1" applyFont="1" applyFill="1" applyBorder="1" applyAlignment="1" applyProtection="1"/>
    <xf numFmtId="0" fontId="75" fillId="0" borderId="88" xfId="0" applyFont="1" applyBorder="1" applyAlignment="1" applyProtection="1">
      <alignment horizontal="center"/>
      <protection locked="0"/>
    </xf>
    <xf numFmtId="0" fontId="67" fillId="31" borderId="56" xfId="0" applyFont="1" applyFill="1" applyBorder="1" applyAlignment="1" applyProtection="1">
      <alignment wrapText="1"/>
      <protection locked="0"/>
    </xf>
    <xf numFmtId="0" fontId="22" fillId="0" borderId="0" xfId="0" applyFont="1" applyFill="1" applyBorder="1"/>
    <xf numFmtId="3" fontId="73" fillId="0" borderId="69" xfId="0" applyNumberFormat="1" applyFont="1" applyFill="1" applyBorder="1" applyAlignment="1" applyProtection="1"/>
    <xf numFmtId="0" fontId="75" fillId="0" borderId="57" xfId="0" applyFont="1" applyBorder="1" applyAlignment="1" applyProtection="1">
      <alignment horizontal="center"/>
      <protection locked="0"/>
    </xf>
    <xf numFmtId="0" fontId="22" fillId="0" borderId="233" xfId="0" applyFont="1" applyBorder="1"/>
    <xf numFmtId="0" fontId="22" fillId="0" borderId="54" xfId="0" applyFont="1" applyBorder="1"/>
    <xf numFmtId="0" fontId="24" fillId="3" borderId="99" xfId="0" applyFont="1" applyFill="1" applyBorder="1" applyAlignment="1">
      <alignment wrapText="1"/>
    </xf>
    <xf numFmtId="0" fontId="22" fillId="0" borderId="4" xfId="0" applyFont="1" applyBorder="1"/>
    <xf numFmtId="0" fontId="22" fillId="0" borderId="45" xfId="0" applyFont="1" applyBorder="1"/>
    <xf numFmtId="0" fontId="22" fillId="0" borderId="46" xfId="0" applyFont="1" applyBorder="1"/>
    <xf numFmtId="0" fontId="56" fillId="0" borderId="253" xfId="5" applyFont="1" applyFill="1" applyBorder="1" applyAlignment="1">
      <alignment horizontal="center" vertical="center"/>
    </xf>
    <xf numFmtId="0" fontId="56" fillId="0" borderId="254" xfId="5" applyFont="1" applyFill="1" applyBorder="1" applyAlignment="1">
      <alignment horizontal="center" vertical="center"/>
    </xf>
    <xf numFmtId="0" fontId="56" fillId="0" borderId="255" xfId="5" applyFont="1" applyFill="1" applyBorder="1" applyAlignment="1">
      <alignment horizontal="center" vertical="center"/>
    </xf>
    <xf numFmtId="0" fontId="24" fillId="2" borderId="40" xfId="0" applyFont="1" applyFill="1" applyBorder="1" applyAlignment="1">
      <alignment wrapText="1"/>
    </xf>
    <xf numFmtId="3" fontId="57" fillId="0" borderId="55" xfId="0" applyNumberFormat="1" applyFont="1" applyBorder="1" applyAlignment="1"/>
    <xf numFmtId="3" fontId="57" fillId="0" borderId="194" xfId="0" applyNumberFormat="1" applyFont="1" applyBorder="1" applyAlignment="1"/>
    <xf numFmtId="3" fontId="57" fillId="0" borderId="193" xfId="0" applyNumberFormat="1" applyFont="1" applyBorder="1" applyAlignment="1"/>
    <xf numFmtId="3" fontId="57" fillId="6" borderId="129" xfId="0" applyNumberFormat="1" applyFont="1" applyFill="1" applyBorder="1" applyAlignment="1"/>
    <xf numFmtId="3" fontId="57" fillId="0" borderId="227" xfId="0" applyNumberFormat="1" applyFont="1" applyBorder="1" applyAlignment="1"/>
    <xf numFmtId="3" fontId="57" fillId="0" borderId="129" xfId="0" applyNumberFormat="1" applyFont="1" applyBorder="1" applyAlignment="1"/>
    <xf numFmtId="0" fontId="24" fillId="0" borderId="55" xfId="1" applyFont="1" applyFill="1" applyBorder="1" applyAlignment="1">
      <alignment wrapText="1"/>
    </xf>
    <xf numFmtId="49" fontId="22" fillId="0" borderId="55" xfId="0" applyNumberFormat="1" applyFont="1" applyFill="1" applyBorder="1" applyAlignment="1">
      <alignment horizontal="right"/>
    </xf>
    <xf numFmtId="0" fontId="22" fillId="32" borderId="57" xfId="0" applyFont="1" applyFill="1" applyBorder="1"/>
    <xf numFmtId="0" fontId="56" fillId="0" borderId="59" xfId="0" applyFont="1" applyFill="1" applyBorder="1"/>
    <xf numFmtId="0" fontId="24" fillId="3" borderId="95" xfId="0" applyFont="1" applyFill="1" applyBorder="1" applyAlignment="1">
      <alignment wrapText="1"/>
    </xf>
    <xf numFmtId="0" fontId="56" fillId="0" borderId="52" xfId="0" applyFont="1" applyBorder="1" applyAlignment="1" applyProtection="1">
      <alignment horizontal="center"/>
      <protection locked="0"/>
    </xf>
    <xf numFmtId="49" fontId="24" fillId="0" borderId="46" xfId="0" applyNumberFormat="1" applyFont="1" applyBorder="1" applyAlignment="1">
      <alignment horizontal="center"/>
    </xf>
    <xf numFmtId="0" fontId="24" fillId="0" borderId="36" xfId="0" applyFont="1" applyFill="1" applyBorder="1" applyAlignment="1">
      <alignment horizontal="center"/>
    </xf>
    <xf numFmtId="0" fontId="24" fillId="0" borderId="60" xfId="0" applyFont="1" applyFill="1" applyBorder="1" applyAlignment="1">
      <alignment horizontal="center"/>
    </xf>
    <xf numFmtId="0" fontId="67" fillId="0" borderId="36" xfId="0" applyFont="1" applyFill="1" applyBorder="1" applyAlignment="1">
      <alignment horizontal="center"/>
    </xf>
    <xf numFmtId="49" fontId="24" fillId="0" borderId="36" xfId="0" applyNumberFormat="1" applyFont="1" applyBorder="1" applyAlignment="1">
      <alignment horizontal="center"/>
    </xf>
    <xf numFmtId="0" fontId="24" fillId="18" borderId="0" xfId="0" applyFont="1" applyFill="1"/>
    <xf numFmtId="0" fontId="24" fillId="18" borderId="0" xfId="0" applyFont="1" applyFill="1" applyBorder="1"/>
    <xf numFmtId="0" fontId="24" fillId="2" borderId="131" xfId="0" applyFont="1" applyFill="1" applyBorder="1" applyAlignment="1">
      <alignment horizontal="left" wrapText="1"/>
    </xf>
    <xf numFmtId="0" fontId="24" fillId="24" borderId="40" xfId="0" applyFont="1" applyFill="1" applyBorder="1" applyAlignment="1" applyProtection="1">
      <alignment wrapText="1"/>
      <protection locked="0"/>
    </xf>
    <xf numFmtId="0" fontId="24" fillId="0" borderId="55" xfId="0" applyFont="1" applyFill="1" applyBorder="1" applyAlignment="1" applyProtection="1">
      <alignment wrapText="1"/>
      <protection locked="0"/>
    </xf>
    <xf numFmtId="0" fontId="56" fillId="0" borderId="37" xfId="0" applyFont="1" applyFill="1" applyBorder="1" applyAlignment="1" applyProtection="1">
      <alignment horizontal="center" shrinkToFit="1"/>
      <protection locked="0"/>
    </xf>
    <xf numFmtId="0" fontId="56" fillId="0" borderId="2" xfId="0" applyFont="1" applyFill="1" applyBorder="1" applyAlignment="1" applyProtection="1">
      <alignment horizontal="center" shrinkToFit="1"/>
      <protection locked="0"/>
    </xf>
    <xf numFmtId="0" fontId="22" fillId="0" borderId="4" xfId="0" applyFont="1" applyFill="1" applyBorder="1"/>
    <xf numFmtId="3" fontId="57" fillId="0" borderId="0" xfId="0" applyNumberFormat="1" applyFont="1" applyFill="1" applyBorder="1" applyAlignment="1"/>
    <xf numFmtId="3" fontId="57" fillId="0" borderId="38" xfId="0" applyNumberFormat="1" applyFont="1" applyFill="1" applyBorder="1" applyAlignment="1" applyProtection="1">
      <protection locked="0"/>
    </xf>
    <xf numFmtId="0" fontId="24" fillId="0" borderId="55" xfId="0" applyFont="1" applyBorder="1" applyAlignment="1" applyProtection="1">
      <alignment horizontal="left" wrapText="1"/>
      <protection locked="0"/>
    </xf>
    <xf numFmtId="0" fontId="67" fillId="0" borderId="130" xfId="1" applyFont="1" applyFill="1" applyBorder="1" applyAlignment="1" applyProtection="1">
      <alignment wrapText="1"/>
      <protection locked="0"/>
    </xf>
    <xf numFmtId="0" fontId="67" fillId="0" borderId="61" xfId="1" applyFont="1" applyFill="1" applyBorder="1" applyAlignment="1" applyProtection="1">
      <alignment wrapText="1"/>
      <protection locked="0"/>
    </xf>
    <xf numFmtId="3" fontId="27" fillId="12" borderId="0" xfId="0" applyNumberFormat="1" applyFont="1" applyFill="1" applyBorder="1" applyAlignment="1"/>
    <xf numFmtId="3" fontId="57" fillId="12" borderId="0" xfId="0" applyNumberFormat="1" applyFont="1" applyFill="1" applyBorder="1" applyAlignment="1"/>
    <xf numFmtId="0" fontId="22" fillId="0" borderId="55" xfId="0" applyFont="1" applyFill="1" applyBorder="1" applyAlignment="1" applyProtection="1">
      <protection locked="0"/>
    </xf>
    <xf numFmtId="0" fontId="56" fillId="9" borderId="229" xfId="0" applyFont="1" applyFill="1" applyBorder="1" applyAlignment="1" applyProtection="1">
      <protection locked="0"/>
    </xf>
    <xf numFmtId="0" fontId="56" fillId="9" borderId="232" xfId="0" applyFont="1" applyFill="1" applyBorder="1" applyAlignment="1" applyProtection="1">
      <protection locked="0"/>
    </xf>
    <xf numFmtId="0" fontId="24" fillId="0" borderId="41" xfId="0" applyNumberFormat="1" applyFont="1" applyFill="1" applyBorder="1" applyAlignment="1" applyProtection="1">
      <alignment horizontal="right" vertical="center"/>
      <protection locked="0"/>
    </xf>
    <xf numFmtId="3" fontId="57" fillId="24" borderId="59" xfId="0" applyNumberFormat="1" applyFont="1" applyFill="1" applyBorder="1" applyAlignment="1" applyProtection="1">
      <protection locked="0"/>
    </xf>
    <xf numFmtId="3" fontId="57" fillId="24" borderId="88" xfId="0" applyNumberFormat="1" applyFont="1" applyFill="1" applyBorder="1" applyAlignment="1" applyProtection="1">
      <protection locked="0"/>
    </xf>
    <xf numFmtId="3" fontId="57" fillId="24" borderId="57" xfId="0" applyNumberFormat="1" applyFont="1" applyFill="1" applyBorder="1" applyAlignment="1" applyProtection="1">
      <protection locked="0"/>
    </xf>
    <xf numFmtId="0" fontId="56" fillId="9" borderId="256" xfId="0" applyFont="1" applyFill="1" applyBorder="1" applyProtection="1">
      <protection locked="0"/>
    </xf>
    <xf numFmtId="0" fontId="56" fillId="9" borderId="257" xfId="0" applyFont="1" applyFill="1" applyBorder="1" applyProtection="1">
      <protection locked="0"/>
    </xf>
    <xf numFmtId="3" fontId="57" fillId="17" borderId="56" xfId="0" applyNumberFormat="1" applyFont="1" applyFill="1" applyBorder="1" applyAlignment="1" applyProtection="1"/>
    <xf numFmtId="0" fontId="56" fillId="30" borderId="236" xfId="0" applyFont="1" applyFill="1" applyBorder="1" applyProtection="1">
      <protection locked="0"/>
    </xf>
    <xf numFmtId="0" fontId="56" fillId="30" borderId="235" xfId="0" applyFont="1" applyFill="1" applyBorder="1" applyProtection="1">
      <protection locked="0"/>
    </xf>
    <xf numFmtId="0" fontId="56" fillId="0" borderId="57" xfId="0" applyFont="1" applyFill="1" applyBorder="1" applyAlignment="1" applyProtection="1">
      <alignment horizontal="center"/>
      <protection locked="0"/>
    </xf>
    <xf numFmtId="0" fontId="56" fillId="0" borderId="58" xfId="0" applyFont="1" applyFill="1" applyBorder="1" applyAlignment="1" applyProtection="1">
      <alignment horizontal="center"/>
      <protection locked="0"/>
    </xf>
    <xf numFmtId="0" fontId="56" fillId="30" borderId="246" xfId="0" applyFont="1" applyFill="1" applyBorder="1" applyProtection="1">
      <protection locked="0"/>
    </xf>
    <xf numFmtId="0" fontId="56" fillId="30" borderId="247" xfId="0" applyFont="1" applyFill="1" applyBorder="1" applyProtection="1">
      <protection locked="0"/>
    </xf>
    <xf numFmtId="0" fontId="56" fillId="32" borderId="229" xfId="0" applyFont="1" applyFill="1" applyBorder="1" applyProtection="1">
      <protection locked="0"/>
    </xf>
    <xf numFmtId="3" fontId="24" fillId="0" borderId="2" xfId="0" applyNumberFormat="1" applyFont="1" applyFill="1" applyBorder="1" applyAlignment="1" applyProtection="1">
      <protection locked="0"/>
    </xf>
    <xf numFmtId="0" fontId="56" fillId="32" borderId="256" xfId="0" applyFont="1" applyFill="1" applyBorder="1" applyProtection="1">
      <protection locked="0"/>
    </xf>
    <xf numFmtId="0" fontId="24" fillId="19" borderId="55" xfId="0" applyFont="1" applyFill="1" applyBorder="1" applyAlignment="1" applyProtection="1">
      <alignment horizontal="left" wrapText="1"/>
      <protection locked="0"/>
    </xf>
    <xf numFmtId="0" fontId="24" fillId="0" borderId="36" xfId="0" applyNumberFormat="1" applyFont="1" applyFill="1" applyBorder="1" applyAlignment="1" applyProtection="1">
      <alignment horizontal="right"/>
      <protection locked="0"/>
    </xf>
    <xf numFmtId="0" fontId="24" fillId="0" borderId="36" xfId="0" applyNumberFormat="1" applyFont="1" applyFill="1" applyBorder="1" applyAlignment="1" applyProtection="1">
      <alignment horizontal="right" vertical="center"/>
      <protection locked="0"/>
    </xf>
    <xf numFmtId="0" fontId="24" fillId="0" borderId="45" xfId="0" applyFont="1" applyBorder="1" applyAlignment="1"/>
    <xf numFmtId="0" fontId="24" fillId="0" borderId="0" xfId="0" applyFont="1" applyBorder="1" applyAlignment="1"/>
    <xf numFmtId="0" fontId="56" fillId="0" borderId="36" xfId="0" applyFont="1" applyBorder="1" applyAlignment="1" applyProtection="1">
      <alignment horizontal="center" wrapText="1"/>
      <protection locked="0"/>
    </xf>
    <xf numFmtId="0" fontId="24" fillId="19" borderId="40" xfId="0" applyFont="1" applyFill="1" applyBorder="1" applyAlignment="1" applyProtection="1">
      <alignment wrapText="1"/>
      <protection locked="0"/>
    </xf>
    <xf numFmtId="0" fontId="56" fillId="9" borderId="226" xfId="0" applyFont="1" applyFill="1" applyBorder="1" applyAlignment="1" applyProtection="1">
      <protection locked="0"/>
    </xf>
    <xf numFmtId="0" fontId="56" fillId="9" borderId="225" xfId="0" applyFont="1" applyFill="1" applyBorder="1" applyAlignment="1" applyProtection="1">
      <protection locked="0"/>
    </xf>
    <xf numFmtId="0" fontId="22" fillId="0" borderId="46" xfId="0" applyFont="1" applyFill="1" applyBorder="1" applyAlignment="1"/>
    <xf numFmtId="0" fontId="24" fillId="0" borderId="89" xfId="0" applyNumberFormat="1" applyFont="1" applyFill="1" applyBorder="1" applyAlignment="1" applyProtection="1">
      <alignment horizontal="right" vertical="center"/>
      <protection locked="0"/>
    </xf>
    <xf numFmtId="0" fontId="67" fillId="0" borderId="40" xfId="0" applyFont="1" applyBorder="1" applyAlignment="1" applyProtection="1">
      <alignment horizontal="left" wrapText="1"/>
      <protection locked="0"/>
    </xf>
    <xf numFmtId="0" fontId="67" fillId="19" borderId="55" xfId="1" applyFont="1" applyFill="1" applyBorder="1" applyAlignment="1" applyProtection="1">
      <alignment wrapText="1"/>
      <protection locked="0"/>
    </xf>
    <xf numFmtId="0" fontId="56" fillId="33" borderId="226" xfId="0" applyFont="1" applyFill="1" applyBorder="1" applyProtection="1">
      <protection locked="0"/>
    </xf>
    <xf numFmtId="0" fontId="56" fillId="33" borderId="225" xfId="0" applyFont="1" applyFill="1" applyBorder="1" applyProtection="1">
      <protection locked="0"/>
    </xf>
    <xf numFmtId="0" fontId="24" fillId="18" borderId="55" xfId="0" applyFont="1" applyFill="1" applyBorder="1" applyAlignment="1" applyProtection="1">
      <alignment horizontal="left" wrapText="1"/>
      <protection locked="0"/>
    </xf>
    <xf numFmtId="3" fontId="24" fillId="0" borderId="0" xfId="0" applyNumberFormat="1" applyFont="1" applyFill="1" applyBorder="1"/>
    <xf numFmtId="0" fontId="67" fillId="19" borderId="40" xfId="1" applyFont="1" applyFill="1" applyBorder="1" applyAlignment="1" applyProtection="1">
      <alignment wrapText="1"/>
      <protection locked="0"/>
    </xf>
    <xf numFmtId="0" fontId="24" fillId="0" borderId="36" xfId="0" applyFont="1" applyFill="1" applyBorder="1" applyAlignment="1" applyProtection="1">
      <alignment horizontal="center"/>
      <protection locked="0"/>
    </xf>
    <xf numFmtId="0" fontId="24" fillId="18" borderId="40" xfId="0" applyFont="1" applyFill="1" applyBorder="1" applyAlignment="1" applyProtection="1">
      <alignment horizontal="left" wrapText="1"/>
      <protection locked="0"/>
    </xf>
    <xf numFmtId="0" fontId="24" fillId="24" borderId="36" xfId="0" applyFont="1" applyFill="1" applyBorder="1" applyAlignment="1" applyProtection="1">
      <alignment horizontal="center"/>
      <protection locked="0"/>
    </xf>
    <xf numFmtId="0" fontId="24" fillId="19" borderId="40" xfId="0" applyFont="1" applyFill="1" applyBorder="1" applyAlignment="1" applyProtection="1">
      <alignment horizontal="left" wrapText="1"/>
      <protection locked="0"/>
    </xf>
    <xf numFmtId="0" fontId="24" fillId="0" borderId="36" xfId="6" applyFont="1" applyFill="1" applyBorder="1" applyAlignment="1" applyProtection="1">
      <alignment horizontal="center"/>
      <protection locked="0"/>
    </xf>
    <xf numFmtId="4" fontId="24" fillId="19" borderId="40" xfId="0" applyNumberFormat="1" applyFont="1" applyFill="1" applyBorder="1" applyAlignment="1" applyProtection="1">
      <alignment wrapText="1"/>
      <protection locked="0"/>
    </xf>
    <xf numFmtId="0" fontId="24" fillId="0" borderId="89" xfId="6" applyFont="1" applyFill="1" applyBorder="1" applyAlignment="1" applyProtection="1">
      <alignment horizontal="center"/>
      <protection locked="0"/>
    </xf>
    <xf numFmtId="3" fontId="27" fillId="17" borderId="40" xfId="0" applyNumberFormat="1" applyFont="1" applyFill="1" applyBorder="1" applyAlignment="1" applyProtection="1"/>
    <xf numFmtId="3" fontId="27" fillId="0" borderId="40" xfId="0" applyNumberFormat="1" applyFont="1" applyFill="1" applyBorder="1" applyAlignment="1" applyProtection="1"/>
    <xf numFmtId="0" fontId="56" fillId="24" borderId="37" xfId="0" applyFont="1" applyFill="1" applyBorder="1" applyAlignment="1" applyProtection="1">
      <alignment horizontal="center"/>
      <protection locked="0"/>
    </xf>
    <xf numFmtId="0" fontId="56" fillId="24" borderId="2" xfId="0" applyFont="1" applyFill="1" applyBorder="1" applyAlignment="1" applyProtection="1">
      <alignment horizontal="center"/>
      <protection locked="0"/>
    </xf>
    <xf numFmtId="0" fontId="56" fillId="24" borderId="36" xfId="0" applyFont="1" applyFill="1" applyBorder="1" applyAlignment="1" applyProtection="1">
      <alignment horizontal="center"/>
      <protection locked="0"/>
    </xf>
    <xf numFmtId="0" fontId="22" fillId="0" borderId="40" xfId="0" applyFont="1" applyFill="1" applyBorder="1" applyAlignment="1"/>
    <xf numFmtId="0" fontId="56" fillId="7" borderId="258" xfId="2" applyFont="1" applyFill="1" applyBorder="1" applyAlignment="1"/>
    <xf numFmtId="0" fontId="56" fillId="7" borderId="259" xfId="2" applyFont="1" applyFill="1" applyBorder="1" applyAlignment="1"/>
    <xf numFmtId="0" fontId="22" fillId="0" borderId="40" xfId="2" applyFont="1" applyFill="1" applyBorder="1" applyAlignment="1"/>
    <xf numFmtId="0" fontId="56" fillId="7" borderId="260" xfId="2" applyFont="1" applyFill="1" applyBorder="1" applyAlignment="1"/>
    <xf numFmtId="0" fontId="56" fillId="7" borderId="261" xfId="2" applyFont="1" applyFill="1" applyBorder="1" applyAlignment="1"/>
    <xf numFmtId="0" fontId="56" fillId="23" borderId="226" xfId="0" applyFont="1" applyFill="1" applyBorder="1" applyProtection="1">
      <protection locked="0"/>
    </xf>
    <xf numFmtId="3" fontId="57" fillId="17" borderId="41" xfId="0" applyNumberFormat="1" applyFont="1" applyFill="1" applyBorder="1" applyAlignment="1"/>
    <xf numFmtId="0" fontId="56" fillId="0" borderId="135" xfId="2" applyFont="1" applyBorder="1" applyAlignment="1">
      <alignment horizontal="center"/>
    </xf>
    <xf numFmtId="0" fontId="56" fillId="0" borderId="133" xfId="2" applyFont="1" applyBorder="1" applyAlignment="1">
      <alignment horizontal="center"/>
    </xf>
    <xf numFmtId="0" fontId="56" fillId="0" borderId="136" xfId="2" applyFont="1" applyBorder="1" applyAlignment="1">
      <alignment horizontal="center"/>
    </xf>
    <xf numFmtId="49" fontId="24" fillId="12" borderId="137" xfId="2" applyNumberFormat="1" applyFont="1" applyFill="1" applyBorder="1" applyAlignment="1">
      <alignment horizontal="left" wrapText="1"/>
    </xf>
    <xf numFmtId="0" fontId="56" fillId="7" borderId="262" xfId="2" applyFont="1" applyFill="1" applyBorder="1" applyAlignment="1"/>
    <xf numFmtId="3" fontId="57" fillId="0" borderId="112" xfId="0" applyNumberFormat="1" applyFont="1" applyFill="1" applyBorder="1" applyAlignment="1"/>
    <xf numFmtId="0" fontId="56" fillId="0" borderId="13" xfId="2" applyFont="1" applyBorder="1" applyAlignment="1">
      <alignment horizontal="center"/>
    </xf>
    <xf numFmtId="0" fontId="56" fillId="0" borderId="1" xfId="2" applyFont="1" applyBorder="1" applyAlignment="1">
      <alignment horizontal="center"/>
    </xf>
    <xf numFmtId="0" fontId="56" fillId="12" borderId="25" xfId="2" applyFont="1" applyFill="1" applyBorder="1" applyAlignment="1">
      <alignment horizontal="center"/>
    </xf>
    <xf numFmtId="0" fontId="67" fillId="19" borderId="56" xfId="1" applyFont="1" applyFill="1" applyBorder="1" applyAlignment="1" applyProtection="1">
      <alignment wrapText="1"/>
      <protection locked="0"/>
    </xf>
    <xf numFmtId="0" fontId="22" fillId="19" borderId="40" xfId="0" applyFont="1" applyFill="1" applyBorder="1" applyAlignment="1" applyProtection="1">
      <protection locked="0"/>
    </xf>
    <xf numFmtId="0" fontId="56" fillId="7" borderId="175" xfId="2" applyFont="1" applyFill="1" applyBorder="1" applyAlignment="1"/>
    <xf numFmtId="0" fontId="56" fillId="7" borderId="160" xfId="2" applyFont="1" applyFill="1" applyBorder="1" applyAlignment="1"/>
    <xf numFmtId="0" fontId="56" fillId="0" borderId="19" xfId="2" applyFont="1" applyBorder="1" applyAlignment="1">
      <alignment horizontal="center"/>
    </xf>
    <xf numFmtId="0" fontId="56" fillId="0" borderId="17" xfId="2" applyFont="1" applyBorder="1" applyAlignment="1">
      <alignment horizontal="center"/>
    </xf>
    <xf numFmtId="0" fontId="56" fillId="12" borderId="126" xfId="2" applyFont="1" applyFill="1" applyBorder="1" applyAlignment="1">
      <alignment horizontal="center"/>
    </xf>
    <xf numFmtId="0" fontId="22" fillId="2" borderId="131" xfId="0" applyFont="1" applyFill="1" applyBorder="1" applyAlignment="1">
      <alignment wrapText="1"/>
    </xf>
    <xf numFmtId="0" fontId="57" fillId="0" borderId="0" xfId="0" applyFont="1" applyBorder="1"/>
    <xf numFmtId="0" fontId="56" fillId="9" borderId="243" xfId="0" applyFont="1" applyFill="1" applyBorder="1" applyAlignment="1" applyProtection="1">
      <protection locked="0"/>
    </xf>
    <xf numFmtId="0" fontId="56" fillId="9" borderId="242" xfId="0" applyFont="1" applyFill="1" applyBorder="1" applyAlignment="1" applyProtection="1">
      <protection locked="0"/>
    </xf>
    <xf numFmtId="0" fontId="56" fillId="0" borderId="36" xfId="0" applyFont="1" applyBorder="1" applyAlignment="1" applyProtection="1">
      <alignment horizontal="center" vertical="top" wrapText="1"/>
      <protection locked="0"/>
    </xf>
    <xf numFmtId="0" fontId="22" fillId="18" borderId="40" xfId="2" applyFont="1" applyFill="1" applyBorder="1" applyAlignment="1"/>
    <xf numFmtId="3" fontId="9" fillId="13" borderId="2" xfId="0" applyNumberFormat="1" applyFont="1" applyFill="1" applyBorder="1" applyAlignment="1" applyProtection="1">
      <protection locked="0"/>
    </xf>
    <xf numFmtId="0" fontId="56" fillId="30" borderId="251" xfId="0" applyFont="1" applyFill="1" applyBorder="1" applyProtection="1">
      <protection locked="0"/>
    </xf>
    <xf numFmtId="0" fontId="56" fillId="30" borderId="252" xfId="0" applyFont="1" applyFill="1" applyBorder="1" applyProtection="1">
      <protection locked="0"/>
    </xf>
    <xf numFmtId="0" fontId="22" fillId="0" borderId="58" xfId="0" applyFont="1" applyFill="1" applyBorder="1"/>
    <xf numFmtId="3" fontId="57" fillId="17" borderId="39" xfId="0" applyNumberFormat="1" applyFont="1" applyFill="1" applyBorder="1" applyAlignment="1" applyProtection="1"/>
    <xf numFmtId="3" fontId="70" fillId="0" borderId="91" xfId="0" applyNumberFormat="1" applyFont="1" applyFill="1" applyBorder="1" applyAlignment="1" applyProtection="1">
      <protection locked="0"/>
    </xf>
    <xf numFmtId="0" fontId="56" fillId="0" borderId="247" xfId="0" applyFont="1" applyFill="1" applyBorder="1" applyProtection="1">
      <protection locked="0"/>
    </xf>
    <xf numFmtId="0" fontId="56" fillId="0" borderId="246" xfId="0" applyFont="1" applyFill="1" applyBorder="1" applyProtection="1">
      <protection locked="0"/>
    </xf>
    <xf numFmtId="3" fontId="51" fillId="0" borderId="62" xfId="0" applyNumberFormat="1" applyFont="1" applyFill="1" applyBorder="1"/>
    <xf numFmtId="3" fontId="49" fillId="11" borderId="35" xfId="0" applyNumberFormat="1" applyFont="1" applyFill="1" applyBorder="1" applyAlignment="1">
      <alignment vertical="center"/>
    </xf>
    <xf numFmtId="3" fontId="49" fillId="11" borderId="182" xfId="0" applyNumberFormat="1" applyFont="1" applyFill="1" applyBorder="1" applyAlignment="1">
      <alignment vertical="center"/>
    </xf>
    <xf numFmtId="3" fontId="46" fillId="17" borderId="37" xfId="0" applyNumberFormat="1" applyFont="1" applyFill="1" applyBorder="1"/>
    <xf numFmtId="3" fontId="46" fillId="17" borderId="184" xfId="0" applyNumberFormat="1" applyFont="1" applyFill="1" applyBorder="1"/>
    <xf numFmtId="3" fontId="46" fillId="13" borderId="237" xfId="0" applyNumberFormat="1" applyFont="1" applyFill="1" applyBorder="1"/>
    <xf numFmtId="3" fontId="46" fillId="13" borderId="37" xfId="0" applyNumberFormat="1" applyFont="1" applyFill="1" applyBorder="1"/>
    <xf numFmtId="3" fontId="51" fillId="0" borderId="37" xfId="0" applyNumberFormat="1" applyFont="1" applyFill="1" applyBorder="1"/>
    <xf numFmtId="3" fontId="51" fillId="13" borderId="61" xfId="0" applyNumberFormat="1" applyFont="1" applyFill="1" applyBorder="1"/>
    <xf numFmtId="3" fontId="51" fillId="0" borderId="68" xfId="0" applyNumberFormat="1" applyFont="1" applyFill="1" applyBorder="1"/>
    <xf numFmtId="3" fontId="51" fillId="0" borderId="65" xfId="0" applyNumberFormat="1" applyFont="1" applyFill="1" applyBorder="1"/>
    <xf numFmtId="3" fontId="51" fillId="0" borderId="94" xfId="0" applyNumberFormat="1" applyFont="1" applyFill="1" applyBorder="1"/>
    <xf numFmtId="3" fontId="51" fillId="13" borderId="101" xfId="0" applyNumberFormat="1" applyFont="1" applyFill="1" applyBorder="1"/>
    <xf numFmtId="3" fontId="51" fillId="0" borderId="237" xfId="0" applyNumberFormat="1" applyFont="1" applyFill="1" applyBorder="1"/>
    <xf numFmtId="3" fontId="51" fillId="17" borderId="61" xfId="0" applyNumberFormat="1" applyFont="1" applyFill="1" applyBorder="1"/>
    <xf numFmtId="0" fontId="56" fillId="9" borderId="247" xfId="0" applyFont="1" applyFill="1" applyBorder="1"/>
    <xf numFmtId="0" fontId="56" fillId="9" borderId="263" xfId="0" applyFont="1" applyFill="1" applyBorder="1"/>
    <xf numFmtId="0" fontId="56" fillId="7" borderId="264" xfId="0" applyFont="1" applyFill="1" applyBorder="1" applyAlignment="1">
      <alignment horizontal="center" vertical="center"/>
    </xf>
    <xf numFmtId="0" fontId="56" fillId="7" borderId="265" xfId="0" applyFont="1" applyFill="1" applyBorder="1" applyAlignment="1">
      <alignment horizontal="center" vertical="center"/>
    </xf>
    <xf numFmtId="0" fontId="22" fillId="3" borderId="179" xfId="0" applyFont="1" applyFill="1" applyBorder="1" applyAlignment="1" applyProtection="1">
      <alignment horizontal="center" wrapText="1"/>
      <protection locked="0"/>
    </xf>
    <xf numFmtId="0" fontId="24" fillId="3" borderId="179" xfId="0" applyFont="1" applyFill="1" applyBorder="1" applyAlignment="1" applyProtection="1">
      <alignment wrapText="1"/>
      <protection locked="0"/>
    </xf>
    <xf numFmtId="3" fontId="27" fillId="0" borderId="198" xfId="0" applyNumberFormat="1" applyFont="1" applyFill="1" applyBorder="1" applyAlignment="1">
      <alignment horizontal="right"/>
    </xf>
    <xf numFmtId="3" fontId="27" fillId="21" borderId="20" xfId="0" applyNumberFormat="1" applyFont="1" applyFill="1" applyBorder="1" applyAlignment="1">
      <alignment horizontal="right"/>
    </xf>
    <xf numFmtId="3" fontId="27" fillId="21" borderId="126" xfId="0" applyNumberFormat="1" applyFont="1" applyFill="1" applyBorder="1" applyAlignment="1">
      <alignment horizontal="right"/>
    </xf>
    <xf numFmtId="3" fontId="65" fillId="21" borderId="17" xfId="0" applyNumberFormat="1" applyFont="1" applyFill="1" applyBorder="1" applyAlignment="1">
      <alignment horizontal="right"/>
    </xf>
    <xf numFmtId="0" fontId="56" fillId="7" borderId="266" xfId="0" applyFont="1" applyFill="1" applyBorder="1" applyAlignment="1">
      <alignment horizontal="center" vertical="center"/>
    </xf>
    <xf numFmtId="0" fontId="56" fillId="7" borderId="267" xfId="0" applyFont="1" applyFill="1" applyBorder="1" applyAlignment="1">
      <alignment horizontal="center" vertical="center"/>
    </xf>
    <xf numFmtId="0" fontId="22" fillId="3" borderId="268" xfId="0" applyFont="1" applyFill="1" applyBorder="1" applyAlignment="1" applyProtection="1">
      <alignment horizontal="center" wrapText="1"/>
      <protection locked="0"/>
    </xf>
    <xf numFmtId="0" fontId="24" fillId="3" borderId="268" xfId="0" applyFont="1" applyFill="1" applyBorder="1" applyAlignment="1" applyProtection="1">
      <alignment wrapText="1"/>
      <protection locked="0"/>
    </xf>
    <xf numFmtId="0" fontId="56" fillId="0" borderId="269" xfId="0" applyFont="1" applyFill="1" applyBorder="1" applyAlignment="1">
      <alignment horizontal="center"/>
    </xf>
    <xf numFmtId="0" fontId="56" fillId="0" borderId="270" xfId="0" applyFont="1" applyFill="1" applyBorder="1" applyAlignment="1">
      <alignment horizontal="center"/>
    </xf>
    <xf numFmtId="0" fontId="56" fillId="0" borderId="271" xfId="0" applyFont="1" applyFill="1" applyBorder="1" applyAlignment="1">
      <alignment horizontal="center"/>
    </xf>
    <xf numFmtId="3" fontId="27" fillId="0" borderId="272" xfId="0" applyNumberFormat="1" applyFont="1" applyFill="1" applyBorder="1" applyAlignment="1">
      <alignment horizontal="right"/>
    </xf>
    <xf numFmtId="3" fontId="27" fillId="0" borderId="273" xfId="0" applyNumberFormat="1" applyFont="1" applyFill="1" applyBorder="1" applyAlignment="1">
      <alignment horizontal="right"/>
    </xf>
    <xf numFmtId="3" fontId="27" fillId="0" borderId="271" xfId="0" applyNumberFormat="1" applyFont="1" applyFill="1" applyBorder="1" applyAlignment="1">
      <alignment horizontal="right"/>
    </xf>
    <xf numFmtId="3" fontId="27" fillId="21" borderId="272" xfId="0" applyNumberFormat="1" applyFont="1" applyFill="1" applyBorder="1" applyAlignment="1">
      <alignment horizontal="right"/>
    </xf>
    <xf numFmtId="3" fontId="27" fillId="21" borderId="269" xfId="0" applyNumberFormat="1" applyFont="1" applyFill="1" applyBorder="1" applyAlignment="1">
      <alignment horizontal="right"/>
    </xf>
    <xf numFmtId="3" fontId="65" fillId="21" borderId="270" xfId="0" applyNumberFormat="1" applyFont="1" applyFill="1" applyBorder="1" applyAlignment="1">
      <alignment horizontal="right"/>
    </xf>
    <xf numFmtId="3" fontId="27" fillId="0" borderId="270" xfId="0" applyNumberFormat="1" applyFont="1" applyFill="1" applyBorder="1" applyAlignment="1">
      <alignment horizontal="right"/>
    </xf>
    <xf numFmtId="3" fontId="27" fillId="6" borderId="269" xfId="0" applyNumberFormat="1" applyFont="1" applyFill="1" applyBorder="1" applyAlignment="1">
      <alignment horizontal="right"/>
    </xf>
    <xf numFmtId="3" fontId="27" fillId="0" borderId="274" xfId="0" applyNumberFormat="1" applyFont="1" applyFill="1" applyBorder="1" applyAlignment="1">
      <alignment horizontal="right"/>
    </xf>
    <xf numFmtId="0" fontId="56" fillId="9" borderId="275" xfId="0" applyFont="1" applyFill="1" applyBorder="1" applyAlignment="1" applyProtection="1">
      <alignment horizontal="center" vertical="center"/>
      <protection locked="0"/>
    </xf>
    <xf numFmtId="0" fontId="56" fillId="9" borderId="276" xfId="0" applyFont="1" applyFill="1" applyBorder="1" applyAlignment="1" applyProtection="1">
      <alignment horizontal="center" vertical="center"/>
      <protection locked="0"/>
    </xf>
    <xf numFmtId="0" fontId="24" fillId="3" borderId="126" xfId="0" applyFont="1" applyFill="1" applyBorder="1" applyAlignment="1" applyProtection="1">
      <alignment wrapText="1"/>
      <protection locked="0"/>
    </xf>
    <xf numFmtId="0" fontId="56" fillId="0" borderId="277" xfId="0" applyFont="1" applyBorder="1" applyAlignment="1" applyProtection="1">
      <alignment horizontal="center"/>
      <protection locked="0"/>
    </xf>
    <xf numFmtId="3" fontId="27" fillId="0" borderId="125" xfId="0" applyNumberFormat="1" applyFont="1" applyFill="1" applyBorder="1" applyAlignment="1">
      <alignment horizontal="right"/>
    </xf>
    <xf numFmtId="3" fontId="27" fillId="0" borderId="44" xfId="0" applyNumberFormat="1" applyFont="1" applyFill="1" applyBorder="1" applyAlignment="1">
      <alignment horizontal="right"/>
    </xf>
    <xf numFmtId="3" fontId="27" fillId="21" borderId="125" xfId="0" applyNumberFormat="1" applyFont="1" applyFill="1" applyBorder="1" applyAlignment="1">
      <alignment horizontal="right"/>
    </xf>
    <xf numFmtId="3" fontId="65" fillId="21" borderId="43" xfId="0" applyNumberFormat="1" applyFont="1" applyFill="1" applyBorder="1" applyAlignment="1">
      <alignment horizontal="right"/>
    </xf>
    <xf numFmtId="3" fontId="27" fillId="0" borderId="43" xfId="0" applyNumberFormat="1" applyFont="1" applyFill="1" applyBorder="1" applyAlignment="1">
      <alignment horizontal="right"/>
    </xf>
    <xf numFmtId="3" fontId="27" fillId="6" borderId="110" xfId="0" applyNumberFormat="1" applyFont="1" applyFill="1" applyBorder="1" applyAlignment="1">
      <alignment horizontal="right"/>
    </xf>
    <xf numFmtId="3" fontId="27" fillId="0" borderId="105" xfId="0" applyNumberFormat="1" applyFont="1" applyFill="1" applyBorder="1" applyAlignment="1">
      <alignment horizontal="right"/>
    </xf>
    <xf numFmtId="3" fontId="27" fillId="6" borderId="125" xfId="0" applyNumberFormat="1" applyFont="1" applyFill="1" applyBorder="1" applyAlignment="1">
      <alignment horizontal="right"/>
    </xf>
    <xf numFmtId="3" fontId="27" fillId="0" borderId="26" xfId="0" applyNumberFormat="1" applyFont="1" applyFill="1" applyBorder="1" applyAlignment="1">
      <alignment horizontal="right" vertical="center"/>
    </xf>
    <xf numFmtId="0" fontId="24" fillId="3" borderId="269" xfId="0" applyFont="1" applyFill="1" applyBorder="1" applyAlignment="1" applyProtection="1">
      <alignment wrapText="1"/>
      <protection locked="0"/>
    </xf>
    <xf numFmtId="0" fontId="56" fillId="0" borderId="269" xfId="0" applyFont="1" applyFill="1" applyBorder="1" applyAlignment="1">
      <alignment horizontal="center" wrapText="1"/>
    </xf>
    <xf numFmtId="0" fontId="56" fillId="0" borderId="270" xfId="0" applyFont="1" applyFill="1" applyBorder="1" applyAlignment="1">
      <alignment horizontal="center" wrapText="1"/>
    </xf>
    <xf numFmtId="0" fontId="56" fillId="0" borderId="271" xfId="0" applyFont="1" applyFill="1" applyBorder="1" applyAlignment="1">
      <alignment horizontal="center" wrapText="1"/>
    </xf>
    <xf numFmtId="3" fontId="27" fillId="0" borderId="269" xfId="0" applyNumberFormat="1" applyFont="1" applyFill="1" applyBorder="1" applyAlignment="1">
      <alignment horizontal="right"/>
    </xf>
    <xf numFmtId="3" fontId="27" fillId="0" borderId="278" xfId="0" applyNumberFormat="1" applyFont="1" applyFill="1" applyBorder="1" applyAlignment="1">
      <alignment horizontal="right"/>
    </xf>
    <xf numFmtId="3" fontId="27" fillId="6" borderId="273" xfId="0" applyNumberFormat="1" applyFont="1" applyFill="1" applyBorder="1" applyAlignment="1">
      <alignment horizontal="right"/>
    </xf>
    <xf numFmtId="3" fontId="27" fillId="0" borderId="274" xfId="0" applyNumberFormat="1" applyFont="1" applyFill="1" applyBorder="1" applyAlignment="1">
      <alignment horizontal="right" vertical="center"/>
    </xf>
    <xf numFmtId="0" fontId="19" fillId="7" borderId="264" xfId="0" applyFont="1" applyFill="1" applyBorder="1" applyAlignment="1">
      <alignment horizontal="center" vertical="center"/>
    </xf>
    <xf numFmtId="0" fontId="19" fillId="7" borderId="265" xfId="0" applyFont="1" applyFill="1" applyBorder="1" applyAlignment="1">
      <alignment horizontal="center" vertical="center"/>
    </xf>
    <xf numFmtId="0" fontId="8" fillId="0" borderId="279" xfId="0" applyFont="1" applyFill="1" applyBorder="1" applyAlignment="1">
      <alignment horizontal="left" wrapText="1"/>
    </xf>
    <xf numFmtId="0" fontId="19" fillId="0" borderId="125" xfId="0" applyFont="1" applyFill="1" applyBorder="1" applyAlignment="1">
      <alignment wrapText="1"/>
    </xf>
    <xf numFmtId="0" fontId="12" fillId="0" borderId="43" xfId="0" applyFont="1" applyFill="1" applyBorder="1" applyAlignment="1">
      <alignment wrapText="1"/>
    </xf>
    <xf numFmtId="0" fontId="12" fillId="0" borderId="105" xfId="0" applyFont="1" applyFill="1" applyBorder="1" applyAlignment="1">
      <alignment wrapText="1"/>
    </xf>
    <xf numFmtId="3" fontId="20" fillId="0" borderId="20" xfId="0" applyNumberFormat="1" applyFont="1" applyFill="1" applyBorder="1" applyAlignment="1">
      <alignment horizontal="right"/>
    </xf>
    <xf numFmtId="3" fontId="20" fillId="0" borderId="125" xfId="0" applyNumberFormat="1" applyFont="1" applyFill="1" applyBorder="1" applyAlignment="1">
      <alignment horizontal="right"/>
    </xf>
    <xf numFmtId="3" fontId="20" fillId="0" borderId="44" xfId="0" applyNumberFormat="1" applyFont="1" applyFill="1" applyBorder="1" applyAlignment="1"/>
    <xf numFmtId="3" fontId="20" fillId="5" borderId="125" xfId="0" applyNumberFormat="1" applyFont="1" applyFill="1" applyBorder="1" applyAlignment="1"/>
    <xf numFmtId="3" fontId="10" fillId="5" borderId="43" xfId="0" applyNumberFormat="1" applyFont="1" applyFill="1" applyBorder="1" applyAlignment="1"/>
    <xf numFmtId="3" fontId="20" fillId="0" borderId="43" xfId="0" applyNumberFormat="1" applyFont="1" applyFill="1" applyBorder="1" applyAlignment="1"/>
    <xf numFmtId="3" fontId="23" fillId="6" borderId="110" xfId="0" applyNumberFormat="1" applyFont="1" applyFill="1" applyBorder="1" applyAlignment="1"/>
    <xf numFmtId="3" fontId="20" fillId="0" borderId="105" xfId="0" applyNumberFormat="1" applyFont="1" applyFill="1" applyBorder="1" applyAlignment="1"/>
    <xf numFmtId="3" fontId="20" fillId="6" borderId="125" xfId="0" applyNumberFormat="1" applyFont="1" applyFill="1" applyBorder="1" applyAlignment="1"/>
    <xf numFmtId="3" fontId="20" fillId="0" borderId="105" xfId="0" applyNumberFormat="1" applyFont="1" applyFill="1" applyBorder="1" applyAlignment="1">
      <alignment vertical="center"/>
    </xf>
    <xf numFmtId="3" fontId="20" fillId="0" borderId="26" xfId="0" applyNumberFormat="1" applyFont="1" applyFill="1" applyBorder="1" applyAlignment="1">
      <alignment vertical="center"/>
    </xf>
    <xf numFmtId="0" fontId="56" fillId="7" borderId="280" xfId="0" applyFont="1" applyFill="1" applyBorder="1" applyAlignment="1">
      <alignment horizontal="center" vertical="center"/>
    </xf>
    <xf numFmtId="0" fontId="56" fillId="7" borderId="281" xfId="0" applyFont="1" applyFill="1" applyBorder="1" applyAlignment="1">
      <alignment horizontal="center" vertical="center"/>
    </xf>
    <xf numFmtId="0" fontId="22" fillId="18" borderId="83" xfId="0" applyFont="1" applyFill="1" applyBorder="1" applyAlignment="1">
      <alignment horizontal="center"/>
    </xf>
    <xf numFmtId="49" fontId="24" fillId="18" borderId="282" xfId="0" applyNumberFormat="1" applyFont="1" applyFill="1" applyBorder="1" applyAlignment="1">
      <alignment horizontal="left" wrapText="1"/>
    </xf>
    <xf numFmtId="0" fontId="56" fillId="0" borderId="273" xfId="0" applyFont="1" applyFill="1" applyBorder="1" applyAlignment="1"/>
    <xf numFmtId="0" fontId="56" fillId="0" borderId="270" xfId="0" applyFont="1" applyFill="1" applyBorder="1" applyAlignment="1"/>
    <xf numFmtId="0" fontId="56" fillId="0" borderId="271" xfId="0" applyFont="1" applyFill="1" applyBorder="1" applyAlignment="1"/>
    <xf numFmtId="3" fontId="27" fillId="0" borderId="271" xfId="0" applyNumberFormat="1" applyFont="1" applyFill="1" applyBorder="1" applyAlignment="1"/>
    <xf numFmtId="3" fontId="27" fillId="21" borderId="272" xfId="0" applyNumberFormat="1" applyFont="1" applyFill="1" applyBorder="1" applyAlignment="1"/>
    <xf numFmtId="3" fontId="27" fillId="21" borderId="269" xfId="0" applyNumberFormat="1" applyFont="1" applyFill="1" applyBorder="1" applyAlignment="1"/>
    <xf numFmtId="3" fontId="65" fillId="21" borderId="270" xfId="0" applyNumberFormat="1" applyFont="1" applyFill="1" applyBorder="1" applyAlignment="1"/>
    <xf numFmtId="3" fontId="27" fillId="0" borderId="270" xfId="0" applyNumberFormat="1" applyFont="1" applyFill="1" applyBorder="1" applyAlignment="1"/>
    <xf numFmtId="3" fontId="27" fillId="0" borderId="278" xfId="0" applyNumberFormat="1" applyFont="1" applyFill="1" applyBorder="1" applyAlignment="1"/>
    <xf numFmtId="3" fontId="27" fillId="6" borderId="283" xfId="0" applyNumberFormat="1" applyFont="1" applyFill="1" applyBorder="1" applyAlignment="1"/>
    <xf numFmtId="3" fontId="27" fillId="0" borderId="284" xfId="0" applyNumberFormat="1" applyFont="1" applyFill="1" applyBorder="1" applyAlignment="1"/>
    <xf numFmtId="3" fontId="27" fillId="6" borderId="269" xfId="0" applyNumberFormat="1" applyFont="1" applyFill="1" applyBorder="1" applyAlignment="1"/>
    <xf numFmtId="3" fontId="27" fillId="0" borderId="271" xfId="0" applyNumberFormat="1" applyFont="1" applyFill="1" applyBorder="1" applyAlignment="1">
      <alignment vertical="center"/>
    </xf>
    <xf numFmtId="3" fontId="27" fillId="0" borderId="274" xfId="0" applyNumberFormat="1" applyFont="1" applyFill="1" applyBorder="1" applyAlignment="1">
      <alignment vertical="center"/>
    </xf>
    <xf numFmtId="3" fontId="10" fillId="2" borderId="230" xfId="0" applyNumberFormat="1" applyFont="1" applyFill="1" applyBorder="1" applyAlignment="1"/>
    <xf numFmtId="3" fontId="10" fillId="2" borderId="100" xfId="0" applyNumberFormat="1" applyFont="1" applyFill="1" applyBorder="1" applyAlignment="1"/>
    <xf numFmtId="3" fontId="57" fillId="24" borderId="45" xfId="0" applyNumberFormat="1" applyFont="1" applyFill="1" applyBorder="1" applyAlignment="1" applyProtection="1">
      <protection locked="0"/>
    </xf>
    <xf numFmtId="3" fontId="10" fillId="14" borderId="231" xfId="0" applyNumberFormat="1" applyFont="1" applyFill="1" applyBorder="1" applyAlignment="1"/>
    <xf numFmtId="3" fontId="10" fillId="15" borderId="231" xfId="0" applyNumberFormat="1" applyFont="1" applyFill="1" applyBorder="1" applyAlignment="1"/>
    <xf numFmtId="3" fontId="10" fillId="15" borderId="117" xfId="0" applyNumberFormat="1" applyFont="1" applyFill="1" applyBorder="1" applyAlignment="1"/>
    <xf numFmtId="0" fontId="24" fillId="0" borderId="36" xfId="0" applyFont="1" applyBorder="1"/>
    <xf numFmtId="0" fontId="0" fillId="0" borderId="0" xfId="0" applyBorder="1"/>
    <xf numFmtId="0" fontId="4" fillId="0" borderId="0" xfId="0" applyFont="1" applyBorder="1"/>
    <xf numFmtId="0" fontId="24" fillId="24" borderId="0" xfId="0" applyFont="1" applyFill="1" applyBorder="1"/>
    <xf numFmtId="3" fontId="27" fillId="0" borderId="57" xfId="0" applyNumberFormat="1" applyFont="1" applyFill="1" applyBorder="1" applyAlignment="1" applyProtection="1">
      <protection locked="0"/>
    </xf>
    <xf numFmtId="3" fontId="27" fillId="0" borderId="37" xfId="0" applyNumberFormat="1" applyFont="1" applyFill="1" applyBorder="1" applyAlignment="1" applyProtection="1">
      <protection locked="0"/>
    </xf>
    <xf numFmtId="3" fontId="27" fillId="0" borderId="184" xfId="0" applyNumberFormat="1" applyFont="1" applyFill="1" applyBorder="1" applyAlignment="1" applyProtection="1">
      <protection locked="0"/>
    </xf>
    <xf numFmtId="3" fontId="10" fillId="2" borderId="83" xfId="0" applyNumberFormat="1" applyFont="1" applyFill="1" applyBorder="1" applyAlignment="1"/>
    <xf numFmtId="3" fontId="57" fillId="0" borderId="27" xfId="0" applyNumberFormat="1" applyFont="1" applyFill="1" applyBorder="1" applyAlignment="1" applyProtection="1">
      <protection locked="0"/>
    </xf>
    <xf numFmtId="3" fontId="10" fillId="2" borderId="27" xfId="0" applyNumberFormat="1" applyFont="1" applyFill="1" applyBorder="1" applyAlignment="1"/>
    <xf numFmtId="3" fontId="57" fillId="0" borderId="62" xfId="0" applyNumberFormat="1" applyFont="1" applyFill="1" applyBorder="1" applyAlignment="1" applyProtection="1">
      <protection locked="0"/>
    </xf>
    <xf numFmtId="3" fontId="27" fillId="12" borderId="27" xfId="0" applyNumberFormat="1" applyFont="1" applyFill="1" applyBorder="1" applyAlignment="1"/>
    <xf numFmtId="3" fontId="57" fillId="12" borderId="40" xfId="0" applyNumberFormat="1" applyFont="1" applyFill="1" applyBorder="1" applyAlignment="1"/>
    <xf numFmtId="3" fontId="57" fillId="12" borderId="55" xfId="0" applyNumberFormat="1" applyFont="1" applyFill="1" applyBorder="1" applyAlignment="1"/>
    <xf numFmtId="3" fontId="57" fillId="12" borderId="62" xfId="0" applyNumberFormat="1" applyFont="1" applyFill="1" applyBorder="1" applyAlignment="1"/>
    <xf numFmtId="3" fontId="57" fillId="0" borderId="82" xfId="0" applyNumberFormat="1" applyFont="1" applyFill="1" applyBorder="1" applyAlignment="1"/>
    <xf numFmtId="3" fontId="57" fillId="0" borderId="38" xfId="0" applyNumberFormat="1" applyFont="1" applyFill="1" applyBorder="1" applyAlignment="1"/>
    <xf numFmtId="3" fontId="27" fillId="0" borderId="190" xfId="0" applyNumberFormat="1" applyFont="1" applyFill="1" applyBorder="1" applyAlignment="1"/>
    <xf numFmtId="3" fontId="57" fillId="12" borderId="38" xfId="0" applyNumberFormat="1" applyFont="1" applyFill="1" applyBorder="1" applyAlignment="1"/>
    <xf numFmtId="3" fontId="27" fillId="0" borderId="179" xfId="0" applyNumberFormat="1" applyFont="1" applyFill="1" applyBorder="1" applyAlignment="1"/>
    <xf numFmtId="3" fontId="57" fillId="0" borderId="237" xfId="0" applyNumberFormat="1" applyFont="1" applyFill="1" applyBorder="1" applyAlignment="1" applyProtection="1">
      <protection locked="0"/>
    </xf>
    <xf numFmtId="3" fontId="57" fillId="0" borderId="53" xfId="0" applyNumberFormat="1" applyFont="1" applyFill="1" applyBorder="1" applyAlignment="1"/>
    <xf numFmtId="3" fontId="57" fillId="24" borderId="55" xfId="0" applyNumberFormat="1" applyFont="1" applyFill="1" applyBorder="1" applyAlignment="1" applyProtection="1">
      <protection locked="0"/>
    </xf>
    <xf numFmtId="3" fontId="57" fillId="0" borderId="69" xfId="0" applyNumberFormat="1" applyFont="1" applyFill="1" applyBorder="1" applyAlignment="1"/>
    <xf numFmtId="3" fontId="10" fillId="14" borderId="83" xfId="0" applyNumberFormat="1" applyFont="1" applyFill="1" applyBorder="1" applyAlignment="1"/>
    <xf numFmtId="3" fontId="10" fillId="15" borderId="83" xfId="0" applyNumberFormat="1" applyFont="1" applyFill="1" applyBorder="1" applyAlignment="1"/>
    <xf numFmtId="3" fontId="10" fillId="15" borderId="75" xfId="0" applyNumberFormat="1" applyFont="1" applyFill="1" applyBorder="1" applyAlignment="1"/>
    <xf numFmtId="0" fontId="67" fillId="0" borderId="42" xfId="1" applyFont="1" applyFill="1" applyBorder="1" applyAlignment="1" applyProtection="1">
      <alignment horizontal="left" wrapText="1"/>
      <protection locked="0"/>
    </xf>
    <xf numFmtId="0" fontId="56" fillId="0" borderId="59" xfId="0" applyNumberFormat="1" applyFont="1" applyBorder="1" applyAlignment="1" applyProtection="1">
      <alignment horizontal="center"/>
      <protection locked="0"/>
    </xf>
    <xf numFmtId="3" fontId="57" fillId="0" borderId="27" xfId="0" applyNumberFormat="1" applyFont="1" applyFill="1" applyBorder="1" applyAlignment="1"/>
    <xf numFmtId="3" fontId="57" fillId="12" borderId="89" xfId="0" applyNumberFormat="1" applyFont="1" applyFill="1" applyBorder="1" applyAlignment="1"/>
    <xf numFmtId="3" fontId="57" fillId="12" borderId="183" xfId="0" applyNumberFormat="1" applyFont="1" applyFill="1" applyBorder="1" applyAlignment="1"/>
    <xf numFmtId="0" fontId="13" fillId="6" borderId="294" xfId="0" applyFont="1" applyFill="1" applyBorder="1" applyAlignment="1">
      <alignment horizontal="center" vertical="center" wrapText="1"/>
    </xf>
    <xf numFmtId="3" fontId="18" fillId="0" borderId="270" xfId="0" applyNumberFormat="1" applyFont="1" applyFill="1" applyBorder="1" applyAlignment="1">
      <alignment horizontal="center" vertical="center" wrapText="1"/>
    </xf>
    <xf numFmtId="3" fontId="17" fillId="0" borderId="150" xfId="0" applyNumberFormat="1" applyFont="1" applyFill="1" applyBorder="1" applyAlignment="1">
      <alignment horizontal="center" vertical="center" wrapText="1"/>
    </xf>
    <xf numFmtId="3" fontId="13" fillId="6" borderId="29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wrapText="1"/>
    </xf>
    <xf numFmtId="0" fontId="0" fillId="0" borderId="150" xfId="0" applyFill="1" applyBorder="1" applyAlignment="1">
      <alignment wrapText="1"/>
    </xf>
    <xf numFmtId="0" fontId="24" fillId="3" borderId="39" xfId="0" applyFont="1" applyFill="1" applyBorder="1" applyAlignment="1">
      <alignment wrapText="1"/>
    </xf>
    <xf numFmtId="0" fontId="24" fillId="0" borderId="42" xfId="0" applyFont="1" applyFill="1" applyBorder="1" applyAlignment="1" applyProtection="1">
      <alignment horizontal="left" wrapText="1"/>
      <protection locked="0"/>
    </xf>
    <xf numFmtId="4" fontId="24" fillId="19" borderId="55" xfId="0" applyNumberFormat="1" applyFont="1" applyFill="1" applyBorder="1" applyAlignment="1" applyProtection="1">
      <alignment horizontal="left" wrapText="1"/>
      <protection locked="0"/>
    </xf>
    <xf numFmtId="4" fontId="24" fillId="18" borderId="40" xfId="0" applyNumberFormat="1" applyFont="1" applyFill="1" applyBorder="1" applyAlignment="1" applyProtection="1">
      <alignment wrapText="1"/>
      <protection locked="0"/>
    </xf>
    <xf numFmtId="4" fontId="24" fillId="19" borderId="40" xfId="0" applyNumberFormat="1" applyFont="1" applyFill="1" applyBorder="1" applyAlignment="1" applyProtection="1">
      <alignment horizontal="left" wrapText="1"/>
      <protection locked="0"/>
    </xf>
    <xf numFmtId="0" fontId="24" fillId="19" borderId="40" xfId="0" applyNumberFormat="1" applyFont="1" applyFill="1" applyBorder="1" applyAlignment="1" applyProtection="1">
      <alignment horizontal="left" wrapText="1"/>
      <protection locked="0"/>
    </xf>
    <xf numFmtId="0" fontId="24" fillId="2" borderId="119" xfId="0" applyFont="1" applyFill="1" applyBorder="1" applyAlignment="1">
      <alignment wrapText="1"/>
    </xf>
    <xf numFmtId="0" fontId="24" fillId="2" borderId="42" xfId="0" applyFont="1" applyFill="1" applyBorder="1" applyAlignment="1">
      <alignment wrapText="1"/>
    </xf>
    <xf numFmtId="0" fontId="24" fillId="2" borderId="56" xfId="0" applyFont="1" applyFill="1" applyBorder="1" applyAlignment="1">
      <alignment wrapText="1"/>
    </xf>
    <xf numFmtId="0" fontId="0" fillId="0" borderId="0" xfId="0" applyAlignment="1">
      <alignment wrapText="1"/>
    </xf>
    <xf numFmtId="0" fontId="22" fillId="3" borderId="38" xfId="0" applyFont="1" applyFill="1" applyBorder="1" applyAlignment="1"/>
    <xf numFmtId="0" fontId="22" fillId="3" borderId="69" xfId="0" applyFont="1" applyFill="1" applyBorder="1" applyAlignment="1"/>
    <xf numFmtId="0" fontId="22" fillId="3" borderId="97" xfId="0" applyFont="1" applyFill="1" applyBorder="1" applyAlignment="1"/>
    <xf numFmtId="0" fontId="22" fillId="2" borderId="131" xfId="0" applyFont="1" applyFill="1" applyBorder="1" applyAlignment="1"/>
    <xf numFmtId="0" fontId="22" fillId="0" borderId="40" xfId="0" applyFont="1" applyFill="1" applyBorder="1" applyAlignment="1" applyProtection="1">
      <protection locked="0"/>
    </xf>
    <xf numFmtId="0" fontId="22" fillId="19" borderId="55" xfId="0" applyFont="1" applyFill="1" applyBorder="1" applyAlignment="1" applyProtection="1">
      <protection locked="0"/>
    </xf>
    <xf numFmtId="0" fontId="22" fillId="18" borderId="40" xfId="0" applyFont="1" applyFill="1" applyBorder="1" applyAlignment="1" applyProtection="1">
      <protection locked="0"/>
    </xf>
    <xf numFmtId="0" fontId="22" fillId="0" borderId="61" xfId="0" applyFont="1" applyFill="1" applyBorder="1" applyAlignment="1" applyProtection="1">
      <protection locked="0"/>
    </xf>
    <xf numFmtId="0" fontId="22" fillId="3" borderId="40" xfId="0" applyFont="1" applyFill="1" applyBorder="1" applyAlignment="1"/>
    <xf numFmtId="0" fontId="22" fillId="3" borderId="124" xfId="0" applyFont="1" applyFill="1" applyBorder="1" applyAlignment="1"/>
    <xf numFmtId="0" fontId="22" fillId="3" borderId="55" xfId="0" applyFont="1" applyFill="1" applyBorder="1" applyAlignment="1"/>
    <xf numFmtId="0" fontId="22" fillId="3" borderId="61" xfId="0" applyFont="1" applyFill="1" applyBorder="1" applyAlignment="1"/>
    <xf numFmtId="0" fontId="24" fillId="19" borderId="56" xfId="0" applyFont="1" applyFill="1" applyBorder="1" applyAlignment="1" applyProtection="1">
      <alignment wrapText="1"/>
      <protection locked="0"/>
    </xf>
    <xf numFmtId="0" fontId="22" fillId="2" borderId="69" xfId="0" applyFont="1" applyFill="1" applyBorder="1" applyAlignment="1"/>
    <xf numFmtId="0" fontId="22" fillId="19" borderId="95" xfId="0" applyFont="1" applyFill="1" applyBorder="1" applyAlignment="1" applyProtection="1">
      <protection locked="0"/>
    </xf>
    <xf numFmtId="0" fontId="24" fillId="19" borderId="137" xfId="0" applyFont="1" applyFill="1" applyBorder="1" applyAlignment="1" applyProtection="1">
      <alignment wrapText="1"/>
      <protection locked="0"/>
    </xf>
    <xf numFmtId="0" fontId="22" fillId="2" borderId="179" xfId="0" applyFont="1" applyFill="1" applyBorder="1" applyAlignment="1"/>
    <xf numFmtId="0" fontId="22" fillId="0" borderId="95" xfId="0" applyFont="1" applyFill="1" applyBorder="1" applyAlignment="1"/>
    <xf numFmtId="0" fontId="22" fillId="2" borderId="40" xfId="0" applyFont="1" applyFill="1" applyBorder="1" applyAlignment="1"/>
    <xf numFmtId="0" fontId="22" fillId="2" borderId="55" xfId="0" applyFont="1" applyFill="1" applyBorder="1" applyAlignment="1"/>
    <xf numFmtId="0" fontId="22" fillId="3" borderId="95" xfId="0" applyFont="1" applyFill="1" applyBorder="1" applyAlignment="1"/>
    <xf numFmtId="0" fontId="24" fillId="0" borderId="56" xfId="0" applyFont="1" applyFill="1" applyBorder="1" applyAlignment="1">
      <alignment horizontal="left" wrapText="1"/>
    </xf>
    <xf numFmtId="0" fontId="22" fillId="3" borderId="130" xfId="0" applyFont="1" applyFill="1" applyBorder="1" applyAlignment="1"/>
    <xf numFmtId="0" fontId="22" fillId="0" borderId="130" xfId="0" applyFont="1" applyFill="1" applyBorder="1" applyAlignment="1" applyProtection="1">
      <protection locked="0"/>
    </xf>
    <xf numFmtId="0" fontId="22" fillId="3" borderId="250" xfId="0" applyFont="1" applyFill="1" applyBorder="1" applyAlignment="1"/>
    <xf numFmtId="0" fontId="22" fillId="0" borderId="151" xfId="0" applyFont="1" applyFill="1" applyBorder="1" applyAlignment="1" applyProtection="1">
      <protection locked="0"/>
    </xf>
    <xf numFmtId="0" fontId="22" fillId="2" borderId="248" xfId="0" applyFont="1" applyFill="1" applyBorder="1" applyAlignment="1"/>
    <xf numFmtId="0" fontId="22" fillId="3" borderId="249" xfId="0" applyFont="1" applyFill="1" applyBorder="1" applyAlignment="1"/>
    <xf numFmtId="0" fontId="22" fillId="11" borderId="61" xfId="0" applyFont="1" applyFill="1" applyBorder="1" applyAlignment="1" applyProtection="1">
      <protection locked="0"/>
    </xf>
    <xf numFmtId="0" fontId="67" fillId="0" borderId="56" xfId="1" applyFont="1" applyFill="1" applyBorder="1" applyAlignment="1" applyProtection="1">
      <alignment horizontal="left" wrapText="1"/>
      <protection locked="0"/>
    </xf>
    <xf numFmtId="0" fontId="22" fillId="11" borderId="55" xfId="0" applyFont="1" applyFill="1" applyBorder="1" applyAlignment="1" applyProtection="1">
      <protection locked="0"/>
    </xf>
    <xf numFmtId="0" fontId="22" fillId="11" borderId="245" xfId="0" applyFont="1" applyFill="1" applyBorder="1" applyAlignment="1" applyProtection="1">
      <protection locked="0"/>
    </xf>
    <xf numFmtId="0" fontId="22" fillId="11" borderId="69" xfId="0" applyFont="1" applyFill="1" applyBorder="1" applyAlignment="1" applyProtection="1">
      <protection locked="0"/>
    </xf>
    <xf numFmtId="3" fontId="65" fillId="0" borderId="0" xfId="0" applyNumberFormat="1" applyFont="1" applyFill="1" applyBorder="1" applyAlignment="1">
      <alignment horizontal="right"/>
    </xf>
    <xf numFmtId="3" fontId="78" fillId="0" borderId="0" xfId="0" applyNumberFormat="1" applyFont="1" applyFill="1" applyBorder="1"/>
    <xf numFmtId="3" fontId="79" fillId="0" borderId="0" xfId="0" applyNumberFormat="1" applyFont="1" applyFill="1" applyBorder="1" applyAlignment="1">
      <alignment horizontal="right"/>
    </xf>
    <xf numFmtId="3" fontId="43" fillId="0" borderId="0" xfId="0" applyNumberFormat="1" applyFont="1" applyFill="1" applyBorder="1" applyAlignment="1">
      <alignment horizontal="left"/>
    </xf>
    <xf numFmtId="3" fontId="43" fillId="0" borderId="0" xfId="0" applyNumberFormat="1" applyFont="1" applyFill="1" applyBorder="1" applyAlignment="1">
      <alignment horizontal="right"/>
    </xf>
    <xf numFmtId="3" fontId="80" fillId="0" borderId="0" xfId="0" applyNumberFormat="1" applyFont="1" applyFill="1" applyBorder="1" applyAlignment="1">
      <alignment horizontal="right"/>
    </xf>
    <xf numFmtId="0" fontId="31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81" fillId="0" borderId="0" xfId="0" applyFont="1" applyFill="1" applyBorder="1" applyAlignment="1"/>
    <xf numFmtId="0" fontId="24" fillId="0" borderId="0" xfId="0" applyFont="1" applyFill="1" applyBorder="1" applyAlignment="1">
      <alignment wrapText="1"/>
    </xf>
    <xf numFmtId="3" fontId="65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3" fontId="65" fillId="0" borderId="0" xfId="0" applyNumberFormat="1" applyFont="1" applyFill="1" applyBorder="1"/>
    <xf numFmtId="0" fontId="9" fillId="19" borderId="46" xfId="0" applyFont="1" applyFill="1" applyBorder="1" applyAlignment="1">
      <alignment horizontal="left"/>
    </xf>
    <xf numFmtId="0" fontId="57" fillId="0" borderId="0" xfId="0" applyFont="1" applyFill="1" applyBorder="1"/>
    <xf numFmtId="2" fontId="57" fillId="0" borderId="0" xfId="0" applyNumberFormat="1" applyFont="1" applyFill="1" applyBorder="1"/>
    <xf numFmtId="3" fontId="61" fillId="0" borderId="0" xfId="0" applyNumberFormat="1" applyFont="1" applyFill="1" applyBorder="1" applyAlignment="1"/>
    <xf numFmtId="0" fontId="22" fillId="3" borderId="38" xfId="0" applyFont="1" applyFill="1" applyBorder="1"/>
    <xf numFmtId="0" fontId="22" fillId="3" borderId="62" xfId="0" applyFont="1" applyFill="1" applyBorder="1"/>
    <xf numFmtId="0" fontId="22" fillId="3" borderId="27" xfId="0" applyFont="1" applyFill="1" applyBorder="1"/>
    <xf numFmtId="0" fontId="22" fillId="3" borderId="83" xfId="0" applyFont="1" applyFill="1" applyBorder="1"/>
    <xf numFmtId="0" fontId="22" fillId="3" borderId="75" xfId="0" applyFont="1" applyFill="1" applyBorder="1"/>
    <xf numFmtId="0" fontId="22" fillId="0" borderId="69" xfId="0" applyFont="1" applyFill="1" applyBorder="1"/>
    <xf numFmtId="0" fontId="0" fillId="0" borderId="51" xfId="0" applyBorder="1"/>
    <xf numFmtId="0" fontId="22" fillId="0" borderId="64" xfId="0" applyFont="1" applyFill="1" applyBorder="1"/>
    <xf numFmtId="0" fontId="56" fillId="0" borderId="297" xfId="0" applyFont="1" applyFill="1" applyBorder="1" applyProtection="1">
      <protection locked="0"/>
    </xf>
    <xf numFmtId="0" fontId="56" fillId="0" borderId="298" xfId="0" applyFont="1" applyFill="1" applyBorder="1" applyProtection="1">
      <protection locked="0"/>
    </xf>
    <xf numFmtId="0" fontId="55" fillId="0" borderId="130" xfId="0" applyFont="1" applyBorder="1"/>
    <xf numFmtId="0" fontId="55" fillId="0" borderId="61" xfId="0" applyFont="1" applyBorder="1"/>
    <xf numFmtId="0" fontId="69" fillId="0" borderId="47" xfId="0" applyFont="1" applyFill="1" applyBorder="1"/>
    <xf numFmtId="0" fontId="55" fillId="0" borderId="41" xfId="0" applyFont="1" applyBorder="1"/>
    <xf numFmtId="0" fontId="55" fillId="0" borderId="74" xfId="0" applyFont="1" applyBorder="1"/>
    <xf numFmtId="0" fontId="56" fillId="26" borderId="183" xfId="0" applyFont="1" applyFill="1" applyBorder="1"/>
    <xf numFmtId="0" fontId="56" fillId="24" borderId="72" xfId="0" applyFont="1" applyFill="1" applyBorder="1"/>
    <xf numFmtId="0" fontId="8" fillId="3" borderId="133" xfId="0" applyFont="1" applyFill="1" applyBorder="1"/>
    <xf numFmtId="0" fontId="24" fillId="3" borderId="38" xfId="0" applyFont="1" applyFill="1" applyBorder="1" applyAlignment="1">
      <alignment wrapText="1"/>
    </xf>
    <xf numFmtId="0" fontId="56" fillId="0" borderId="147" xfId="0" applyFont="1" applyFill="1" applyBorder="1" applyAlignment="1">
      <alignment horizontal="center"/>
    </xf>
    <xf numFmtId="0" fontId="56" fillId="0" borderId="116" xfId="0" applyFont="1" applyFill="1" applyBorder="1" applyAlignment="1">
      <alignment horizontal="center"/>
    </xf>
    <xf numFmtId="0" fontId="56" fillId="0" borderId="116" xfId="0" applyFont="1" applyFill="1" applyBorder="1" applyAlignment="1" applyProtection="1">
      <alignment horizontal="center"/>
      <protection locked="0"/>
    </xf>
    <xf numFmtId="0" fontId="56" fillId="0" borderId="117" xfId="0" applyFont="1" applyBorder="1" applyAlignment="1" applyProtection="1">
      <alignment horizontal="center"/>
      <protection locked="0"/>
    </xf>
    <xf numFmtId="3" fontId="57" fillId="10" borderId="113" xfId="0" applyNumberFormat="1" applyFont="1" applyFill="1" applyBorder="1" applyAlignment="1" applyProtection="1">
      <protection locked="0"/>
    </xf>
    <xf numFmtId="0" fontId="24" fillId="3" borderId="56" xfId="0" applyFont="1" applyFill="1" applyBorder="1" applyAlignment="1">
      <alignment horizontal="left" wrapText="1"/>
    </xf>
    <xf numFmtId="0" fontId="24" fillId="3" borderId="27" xfId="0" applyFont="1" applyFill="1" applyBorder="1" applyAlignment="1" applyProtection="1">
      <alignment horizontal="left" wrapText="1"/>
      <protection locked="0"/>
    </xf>
    <xf numFmtId="0" fontId="56" fillId="0" borderId="31" xfId="0" applyFont="1" applyFill="1" applyBorder="1" applyAlignment="1">
      <alignment horizontal="center"/>
    </xf>
    <xf numFmtId="0" fontId="56" fillId="0" borderId="34" xfId="0" applyFont="1" applyBorder="1" applyAlignment="1">
      <alignment horizontal="center"/>
    </xf>
    <xf numFmtId="0" fontId="56" fillId="0" borderId="182" xfId="0" applyFont="1" applyBorder="1" applyAlignment="1">
      <alignment horizontal="center"/>
    </xf>
    <xf numFmtId="3" fontId="27" fillId="0" borderId="27" xfId="0" applyNumberFormat="1" applyFont="1" applyFill="1" applyBorder="1" applyAlignment="1"/>
    <xf numFmtId="3" fontId="27" fillId="0" borderId="152" xfId="0" applyNumberFormat="1" applyFont="1" applyFill="1" applyBorder="1" applyAlignment="1"/>
    <xf numFmtId="3" fontId="27" fillId="0" borderId="35" xfId="0" applyNumberFormat="1" applyFont="1" applyFill="1" applyBorder="1" applyAlignment="1"/>
    <xf numFmtId="3" fontId="27" fillId="17" borderId="87" xfId="0" applyNumberFormat="1" applyFont="1" applyFill="1" applyBorder="1" applyAlignment="1"/>
    <xf numFmtId="3" fontId="27" fillId="17" borderId="152" xfId="0" applyNumberFormat="1" applyFont="1" applyFill="1" applyBorder="1" applyAlignment="1"/>
    <xf numFmtId="3" fontId="65" fillId="17" borderId="34" xfId="0" applyNumberFormat="1" applyFont="1" applyFill="1" applyBorder="1" applyAlignment="1"/>
    <xf numFmtId="3" fontId="27" fillId="12" borderId="30" xfId="0" applyNumberFormat="1" applyFont="1" applyFill="1" applyBorder="1" applyAlignment="1"/>
    <xf numFmtId="3" fontId="27" fillId="12" borderId="29" xfId="0" applyNumberFormat="1" applyFont="1" applyFill="1" applyBorder="1" applyAlignment="1"/>
    <xf numFmtId="3" fontId="27" fillId="6" borderId="31" xfId="0" applyNumberFormat="1" applyFont="1" applyFill="1" applyBorder="1" applyAlignment="1"/>
    <xf numFmtId="3" fontId="27" fillId="12" borderId="32" xfId="0" applyNumberFormat="1" applyFont="1" applyFill="1" applyBorder="1" applyAlignment="1"/>
    <xf numFmtId="3" fontId="27" fillId="6" borderId="28" xfId="0" applyNumberFormat="1" applyFont="1" applyFill="1" applyBorder="1" applyAlignment="1"/>
    <xf numFmtId="0" fontId="6" fillId="0" borderId="299" xfId="0" applyFont="1" applyFill="1" applyBorder="1" applyAlignment="1">
      <alignment wrapText="1"/>
    </xf>
    <xf numFmtId="0" fontId="22" fillId="3" borderId="47" xfId="0" applyFont="1" applyFill="1" applyBorder="1"/>
    <xf numFmtId="3" fontId="46" fillId="13" borderId="57" xfId="0" applyNumberFormat="1" applyFont="1" applyFill="1" applyBorder="1"/>
    <xf numFmtId="3" fontId="51" fillId="0" borderId="57" xfId="0" applyNumberFormat="1" applyFont="1" applyFill="1" applyBorder="1"/>
    <xf numFmtId="3" fontId="51" fillId="13" borderId="130" xfId="0" applyNumberFormat="1" applyFont="1" applyFill="1" applyBorder="1"/>
    <xf numFmtId="3" fontId="51" fillId="0" borderId="88" xfId="0" applyNumberFormat="1" applyFont="1" applyFill="1" applyBorder="1"/>
    <xf numFmtId="3" fontId="51" fillId="0" borderId="55" xfId="0" applyNumberFormat="1" applyFont="1" applyFill="1" applyBorder="1"/>
    <xf numFmtId="0" fontId="22" fillId="0" borderId="27" xfId="0" applyFont="1" applyFill="1" applyBorder="1"/>
    <xf numFmtId="0" fontId="24" fillId="0" borderId="27" xfId="0" applyFont="1" applyBorder="1" applyAlignment="1">
      <alignment horizontal="left" wrapText="1"/>
    </xf>
    <xf numFmtId="0" fontId="56" fillId="0" borderId="152" xfId="0" applyFont="1" applyBorder="1" applyAlignment="1">
      <alignment horizontal="center"/>
    </xf>
    <xf numFmtId="0" fontId="56" fillId="0" borderId="35" xfId="0" applyFont="1" applyBorder="1" applyAlignment="1">
      <alignment horizontal="center"/>
    </xf>
    <xf numFmtId="3" fontId="9" fillId="17" borderId="152" xfId="0" applyNumberFormat="1" applyFont="1" applyFill="1" applyBorder="1" applyAlignment="1" applyProtection="1">
      <protection locked="0"/>
    </xf>
    <xf numFmtId="3" fontId="57" fillId="0" borderId="182" xfId="0" applyNumberFormat="1" applyFont="1" applyFill="1" applyBorder="1" applyAlignment="1" applyProtection="1">
      <protection locked="0"/>
    </xf>
    <xf numFmtId="3" fontId="57" fillId="10" borderId="152" xfId="0" applyNumberFormat="1" applyFont="1" applyFill="1" applyBorder="1" applyAlignment="1" applyProtection="1">
      <protection locked="0"/>
    </xf>
    <xf numFmtId="0" fontId="69" fillId="0" borderId="101" xfId="0" applyFont="1" applyFill="1" applyBorder="1"/>
    <xf numFmtId="0" fontId="24" fillId="0" borderId="38" xfId="0" applyFont="1" applyFill="1" applyBorder="1" applyAlignment="1" applyProtection="1">
      <alignment wrapText="1"/>
      <protection locked="0"/>
    </xf>
    <xf numFmtId="0" fontId="56" fillId="0" borderId="66" xfId="0" applyFont="1" applyFill="1" applyBorder="1" applyAlignment="1" applyProtection="1">
      <alignment horizontal="center"/>
      <protection locked="0"/>
    </xf>
    <xf numFmtId="0" fontId="56" fillId="0" borderId="65" xfId="0" applyFont="1" applyFill="1" applyBorder="1" applyAlignment="1">
      <alignment horizontal="center"/>
    </xf>
    <xf numFmtId="0" fontId="56" fillId="0" borderId="65" xfId="0" applyFont="1" applyBorder="1" applyAlignment="1">
      <alignment horizontal="center"/>
    </xf>
    <xf numFmtId="0" fontId="56" fillId="0" borderId="94" xfId="0" applyFont="1" applyBorder="1" applyAlignment="1">
      <alignment horizontal="center"/>
    </xf>
    <xf numFmtId="3" fontId="27" fillId="0" borderId="38" xfId="0" applyNumberFormat="1" applyFont="1" applyFill="1" applyBorder="1" applyAlignment="1" applyProtection="1"/>
    <xf numFmtId="3" fontId="27" fillId="0" borderId="101" xfId="0" applyNumberFormat="1" applyFont="1" applyFill="1" applyBorder="1" applyAlignment="1" applyProtection="1"/>
    <xf numFmtId="3" fontId="27" fillId="0" borderId="94" xfId="0" applyNumberFormat="1" applyFont="1" applyFill="1" applyBorder="1" applyAlignment="1"/>
    <xf numFmtId="3" fontId="27" fillId="17" borderId="38" xfId="0" applyNumberFormat="1" applyFont="1" applyFill="1" applyBorder="1" applyAlignment="1" applyProtection="1"/>
    <xf numFmtId="3" fontId="27" fillId="17" borderId="64" xfId="0" applyNumberFormat="1" applyFont="1" applyFill="1" applyBorder="1" applyAlignment="1"/>
    <xf numFmtId="3" fontId="9" fillId="17" borderId="65" xfId="0" applyNumberFormat="1" applyFont="1" applyFill="1" applyBorder="1" applyAlignment="1"/>
    <xf numFmtId="3" fontId="27" fillId="0" borderId="66" xfId="0" applyNumberFormat="1" applyFont="1" applyFill="1" applyBorder="1" applyAlignment="1" applyProtection="1"/>
    <xf numFmtId="3" fontId="27" fillId="0" borderId="85" xfId="0" applyNumberFormat="1" applyFont="1" applyFill="1" applyBorder="1" applyAlignment="1" applyProtection="1"/>
    <xf numFmtId="3" fontId="27" fillId="10" borderId="101" xfId="0" applyNumberFormat="1" applyFont="1" applyFill="1" applyBorder="1" applyAlignment="1"/>
    <xf numFmtId="3" fontId="27" fillId="0" borderId="65" xfId="0" applyNumberFormat="1" applyFont="1" applyFill="1" applyBorder="1" applyAlignment="1" applyProtection="1"/>
    <xf numFmtId="3" fontId="57" fillId="10" borderId="101" xfId="0" applyNumberFormat="1" applyFont="1" applyFill="1" applyBorder="1" applyAlignment="1" applyProtection="1">
      <protection locked="0"/>
    </xf>
    <xf numFmtId="3" fontId="10" fillId="2" borderId="228" xfId="0" applyNumberFormat="1" applyFont="1" applyFill="1" applyBorder="1" applyAlignment="1"/>
    <xf numFmtId="3" fontId="10" fillId="2" borderId="152" xfId="0" applyNumberFormat="1" applyFont="1" applyFill="1" applyBorder="1" applyAlignment="1"/>
    <xf numFmtId="0" fontId="67" fillId="19" borderId="42" xfId="1" applyFont="1" applyFill="1" applyBorder="1" applyAlignment="1" applyProtection="1">
      <alignment wrapText="1"/>
      <protection locked="0"/>
    </xf>
    <xf numFmtId="0" fontId="22" fillId="2" borderId="301" xfId="0" applyFont="1" applyFill="1" applyBorder="1" applyAlignment="1"/>
    <xf numFmtId="0" fontId="24" fillId="2" borderId="96" xfId="0" applyFont="1" applyFill="1" applyBorder="1" applyAlignment="1">
      <alignment wrapText="1"/>
    </xf>
    <xf numFmtId="0" fontId="9" fillId="19" borderId="100" xfId="0" applyFont="1" applyFill="1" applyBorder="1" applyAlignment="1">
      <alignment horizontal="left" wrapText="1"/>
    </xf>
    <xf numFmtId="0" fontId="9" fillId="19" borderId="149" xfId="0" applyFont="1" applyFill="1" applyBorder="1" applyAlignment="1">
      <alignment horizontal="left" wrapText="1"/>
    </xf>
    <xf numFmtId="0" fontId="9" fillId="19" borderId="152" xfId="0" applyFont="1" applyFill="1" applyBorder="1" applyAlignment="1">
      <alignment horizontal="left" wrapText="1"/>
    </xf>
    <xf numFmtId="49" fontId="9" fillId="4" borderId="61" xfId="0" applyNumberFormat="1" applyFont="1" applyFill="1" applyBorder="1" applyAlignment="1">
      <alignment horizontal="right" wrapText="1"/>
    </xf>
    <xf numFmtId="49" fontId="9" fillId="4" borderId="46" xfId="0" applyNumberFormat="1" applyFont="1" applyFill="1" applyBorder="1" applyAlignment="1">
      <alignment horizontal="right" wrapText="1"/>
    </xf>
    <xf numFmtId="49" fontId="9" fillId="4" borderId="36" xfId="0" applyNumberFormat="1" applyFont="1" applyFill="1" applyBorder="1" applyAlignment="1">
      <alignment horizontal="right" wrapText="1"/>
    </xf>
    <xf numFmtId="49" fontId="9" fillId="34" borderId="61" xfId="0" applyNumberFormat="1" applyFont="1" applyFill="1" applyBorder="1" applyAlignment="1">
      <alignment horizontal="right" wrapText="1"/>
    </xf>
    <xf numFmtId="49" fontId="9" fillId="34" borderId="46" xfId="0" applyNumberFormat="1" applyFont="1" applyFill="1" applyBorder="1" applyAlignment="1">
      <alignment horizontal="right" wrapText="1"/>
    </xf>
    <xf numFmtId="49" fontId="9" fillId="34" borderId="36" xfId="0" applyNumberFormat="1" applyFont="1" applyFill="1" applyBorder="1" applyAlignment="1">
      <alignment horizontal="right" wrapText="1"/>
    </xf>
    <xf numFmtId="49" fontId="9" fillId="0" borderId="61" xfId="0" applyNumberFormat="1" applyFont="1" applyFill="1" applyBorder="1" applyAlignment="1">
      <alignment horizontal="right" wrapText="1"/>
    </xf>
    <xf numFmtId="49" fontId="9" fillId="0" borderId="46" xfId="0" applyNumberFormat="1" applyFont="1" applyFill="1" applyBorder="1" applyAlignment="1">
      <alignment horizontal="right" wrapText="1"/>
    </xf>
    <xf numFmtId="49" fontId="9" fillId="0" borderId="36" xfId="0" applyNumberFormat="1" applyFont="1" applyFill="1" applyBorder="1" applyAlignment="1">
      <alignment horizontal="right" wrapText="1"/>
    </xf>
    <xf numFmtId="3" fontId="35" fillId="0" borderId="0" xfId="0" applyNumberFormat="1" applyFont="1" applyFill="1" applyBorder="1" applyAlignment="1">
      <alignment horizontal="center"/>
    </xf>
    <xf numFmtId="0" fontId="29" fillId="0" borderId="0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3" fontId="61" fillId="20" borderId="237" xfId="0" applyNumberFormat="1" applyFont="1" applyFill="1" applyBorder="1" applyAlignment="1">
      <alignment horizontal="center"/>
    </xf>
    <xf numFmtId="3" fontId="61" fillId="20" borderId="85" xfId="0" applyNumberFormat="1" applyFont="1" applyFill="1" applyBorder="1" applyAlignment="1">
      <alignment horizontal="center"/>
    </xf>
    <xf numFmtId="3" fontId="61" fillId="20" borderId="39" xfId="0" applyNumberFormat="1" applyFont="1" applyFill="1" applyBorder="1" applyAlignment="1">
      <alignment horizontal="center"/>
    </xf>
    <xf numFmtId="0" fontId="9" fillId="20" borderId="101" xfId="0" applyFont="1" applyFill="1" applyBorder="1" applyAlignment="1">
      <alignment horizontal="left" wrapText="1"/>
    </xf>
    <xf numFmtId="0" fontId="9" fillId="20" borderId="85" xfId="0" applyFont="1" applyFill="1" applyBorder="1" applyAlignment="1">
      <alignment horizontal="left" wrapText="1"/>
    </xf>
    <xf numFmtId="0" fontId="9" fillId="20" borderId="66" xfId="0" applyFont="1" applyFill="1" applyBorder="1" applyAlignment="1">
      <alignment horizontal="left" wrapText="1"/>
    </xf>
    <xf numFmtId="0" fontId="37" fillId="17" borderId="85" xfId="0" applyFont="1" applyFill="1" applyBorder="1" applyAlignment="1">
      <alignment horizontal="center" vertical="center" wrapText="1"/>
    </xf>
    <xf numFmtId="0" fontId="43" fillId="17" borderId="66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wrapText="1"/>
    </xf>
    <xf numFmtId="0" fontId="33" fillId="0" borderId="0" xfId="0" applyFont="1" applyAlignment="1">
      <alignment wrapText="1"/>
    </xf>
    <xf numFmtId="0" fontId="35" fillId="0" borderId="75" xfId="0" applyFont="1" applyFill="1" applyBorder="1" applyAlignment="1">
      <alignment horizontal="center" vertical="center"/>
    </xf>
    <xf numFmtId="0" fontId="35" fillId="0" borderId="69" xfId="0" applyFont="1" applyBorder="1" applyAlignment="1">
      <alignment horizontal="center" vertical="center"/>
    </xf>
    <xf numFmtId="0" fontId="35" fillId="0" borderId="83" xfId="0" applyFont="1" applyBorder="1" applyAlignment="1">
      <alignment horizontal="center" vertical="center"/>
    </xf>
    <xf numFmtId="0" fontId="37" fillId="17" borderId="114" xfId="0" applyFont="1" applyFill="1" applyBorder="1" applyAlignment="1">
      <alignment horizontal="center" vertical="center"/>
    </xf>
    <xf numFmtId="0" fontId="0" fillId="17" borderId="103" xfId="0" applyFill="1" applyBorder="1" applyAlignment="1">
      <alignment horizontal="center" vertical="center"/>
    </xf>
    <xf numFmtId="0" fontId="0" fillId="17" borderId="76" xfId="0" applyFill="1" applyBorder="1" applyAlignment="1">
      <alignment horizontal="center" vertical="center"/>
    </xf>
    <xf numFmtId="0" fontId="37" fillId="17" borderId="100" xfId="0" applyFont="1" applyFill="1" applyBorder="1" applyAlignment="1">
      <alignment horizontal="center" vertical="center"/>
    </xf>
    <xf numFmtId="0" fontId="37" fillId="17" borderId="149" xfId="0" applyFont="1" applyFill="1" applyBorder="1" applyAlignment="1">
      <alignment horizontal="center" vertical="center"/>
    </xf>
    <xf numFmtId="0" fontId="36" fillId="0" borderId="75" xfId="0" applyFont="1" applyBorder="1" applyAlignment="1">
      <alignment horizontal="center" vertical="center" wrapText="1"/>
    </xf>
    <xf numFmtId="0" fontId="0" fillId="0" borderId="69" xfId="0" applyBorder="1" applyAlignment="1">
      <alignment horizontal="center" vertical="center" wrapText="1"/>
    </xf>
    <xf numFmtId="0" fontId="0" fillId="0" borderId="83" xfId="0" applyBorder="1" applyAlignment="1">
      <alignment horizontal="center" vertical="center" wrapText="1"/>
    </xf>
    <xf numFmtId="0" fontId="36" fillId="0" borderId="69" xfId="0" applyFont="1" applyFill="1" applyBorder="1" applyAlignment="1">
      <alignment horizontal="center" vertical="center" wrapText="1"/>
    </xf>
    <xf numFmtId="0" fontId="0" fillId="0" borderId="83" xfId="0" applyFill="1" applyBorder="1" applyAlignment="1">
      <alignment horizontal="center" vertical="center"/>
    </xf>
    <xf numFmtId="0" fontId="40" fillId="17" borderId="113" xfId="0" applyFont="1" applyFill="1" applyBorder="1" applyAlignment="1">
      <alignment horizontal="center" vertical="center" wrapText="1"/>
    </xf>
    <xf numFmtId="0" fontId="0" fillId="17" borderId="138" xfId="0" applyFill="1" applyBorder="1" applyAlignment="1">
      <alignment horizontal="center" vertical="center"/>
    </xf>
    <xf numFmtId="0" fontId="39" fillId="17" borderId="117" xfId="0" applyFont="1" applyFill="1" applyBorder="1" applyAlignment="1">
      <alignment horizontal="center" vertical="center" wrapText="1"/>
    </xf>
    <xf numFmtId="0" fontId="30" fillId="17" borderId="231" xfId="0" applyFont="1" applyFill="1" applyBorder="1" applyAlignment="1">
      <alignment horizontal="center" vertical="center" wrapText="1"/>
    </xf>
    <xf numFmtId="0" fontId="42" fillId="0" borderId="116" xfId="0" applyFont="1" applyFill="1" applyBorder="1" applyAlignment="1">
      <alignment horizontal="center" vertical="center" wrapText="1"/>
    </xf>
    <xf numFmtId="0" fontId="24" fillId="0" borderId="139" xfId="0" applyFont="1" applyBorder="1" applyAlignment="1">
      <alignment horizontal="center" vertical="center"/>
    </xf>
    <xf numFmtId="0" fontId="42" fillId="0" borderId="115" xfId="0" applyFont="1" applyFill="1" applyBorder="1" applyAlignment="1">
      <alignment horizontal="center" vertical="center" wrapText="1"/>
    </xf>
    <xf numFmtId="0" fontId="24" fillId="0" borderId="146" xfId="0" applyFont="1" applyBorder="1" applyAlignment="1">
      <alignment horizontal="center" vertical="center" wrapText="1"/>
    </xf>
    <xf numFmtId="0" fontId="37" fillId="17" borderId="101" xfId="0" applyFont="1" applyFill="1" applyBorder="1" applyAlignment="1">
      <alignment horizontal="center" vertical="center" wrapText="1"/>
    </xf>
    <xf numFmtId="0" fontId="0" fillId="17" borderId="85" xfId="0" applyFill="1" applyBorder="1" applyAlignment="1">
      <alignment horizontal="center" vertical="center" wrapText="1"/>
    </xf>
    <xf numFmtId="0" fontId="43" fillId="17" borderId="39" xfId="0" applyFont="1" applyFill="1" applyBorder="1" applyAlignment="1">
      <alignment horizontal="center" vertical="center" wrapText="1"/>
    </xf>
    <xf numFmtId="0" fontId="52" fillId="0" borderId="0" xfId="0" applyFont="1" applyFill="1" applyAlignment="1">
      <alignment horizontal="center" wrapText="1"/>
    </xf>
    <xf numFmtId="3" fontId="53" fillId="0" borderId="0" xfId="0" applyNumberFormat="1" applyFont="1" applyFill="1" applyBorder="1" applyAlignment="1">
      <alignment horizontal="center"/>
    </xf>
    <xf numFmtId="0" fontId="53" fillId="0" borderId="0" xfId="0" applyFon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center"/>
    </xf>
    <xf numFmtId="3" fontId="54" fillId="0" borderId="0" xfId="0" applyNumberFormat="1" applyFont="1" applyFill="1" applyAlignment="1">
      <alignment horizontal="center"/>
    </xf>
    <xf numFmtId="0" fontId="29" fillId="0" borderId="0" xfId="0" applyFont="1" applyFill="1" applyBorder="1" applyAlignment="1">
      <alignment horizontal="center" wrapText="1"/>
    </xf>
    <xf numFmtId="3" fontId="29" fillId="0" borderId="0" xfId="0" applyNumberFormat="1" applyFont="1" applyFill="1" applyBorder="1" applyAlignment="1">
      <alignment horizontal="center" wrapText="1"/>
    </xf>
    <xf numFmtId="0" fontId="9" fillId="19" borderId="61" xfId="0" applyFont="1" applyFill="1" applyBorder="1" applyAlignment="1">
      <alignment horizontal="left"/>
    </xf>
    <xf numFmtId="0" fontId="9" fillId="19" borderId="46" xfId="0" applyFont="1" applyFill="1" applyBorder="1" applyAlignment="1">
      <alignment horizontal="left"/>
    </xf>
    <xf numFmtId="3" fontId="61" fillId="22" borderId="37" xfId="0" applyNumberFormat="1" applyFont="1" applyFill="1" applyBorder="1" applyAlignment="1">
      <alignment horizontal="center"/>
    </xf>
    <xf numFmtId="3" fontId="61" fillId="22" borderId="46" xfId="0" applyNumberFormat="1" applyFont="1" applyFill="1" applyBorder="1" applyAlignment="1">
      <alignment horizontal="center"/>
    </xf>
    <xf numFmtId="3" fontId="61" fillId="22" borderId="42" xfId="0" applyNumberFormat="1" applyFont="1" applyFill="1" applyBorder="1" applyAlignment="1">
      <alignment horizontal="center"/>
    </xf>
    <xf numFmtId="3" fontId="61" fillId="19" borderId="37" xfId="0" applyNumberFormat="1" applyFont="1" applyFill="1" applyBorder="1" applyAlignment="1">
      <alignment horizontal="center"/>
    </xf>
    <xf numFmtId="3" fontId="61" fillId="19" borderId="46" xfId="0" applyNumberFormat="1" applyFont="1" applyFill="1" applyBorder="1" applyAlignment="1">
      <alignment horizontal="center"/>
    </xf>
    <xf numFmtId="3" fontId="61" fillId="19" borderId="42" xfId="0" applyNumberFormat="1" applyFont="1" applyFill="1" applyBorder="1" applyAlignment="1">
      <alignment horizontal="center"/>
    </xf>
    <xf numFmtId="0" fontId="9" fillId="22" borderId="61" xfId="0" applyFont="1" applyFill="1" applyBorder="1" applyAlignment="1">
      <alignment horizontal="left" wrapText="1"/>
    </xf>
    <xf numFmtId="0" fontId="9" fillId="22" borderId="46" xfId="0" applyFont="1" applyFill="1" applyBorder="1" applyAlignment="1">
      <alignment horizontal="left" wrapText="1"/>
    </xf>
    <xf numFmtId="0" fontId="9" fillId="22" borderId="36" xfId="0" applyFont="1" applyFill="1" applyBorder="1" applyAlignment="1">
      <alignment horizontal="left" wrapText="1"/>
    </xf>
    <xf numFmtId="3" fontId="61" fillId="0" borderId="37" xfId="0" applyNumberFormat="1" applyFont="1" applyFill="1" applyBorder="1" applyAlignment="1">
      <alignment horizontal="right"/>
    </xf>
    <xf numFmtId="3" fontId="61" fillId="0" borderId="46" xfId="0" applyNumberFormat="1" applyFont="1" applyFill="1" applyBorder="1" applyAlignment="1">
      <alignment horizontal="right"/>
    </xf>
    <xf numFmtId="3" fontId="61" fillId="0" borderId="42" xfId="0" applyNumberFormat="1" applyFont="1" applyFill="1" applyBorder="1" applyAlignment="1">
      <alignment horizontal="right"/>
    </xf>
    <xf numFmtId="3" fontId="61" fillId="0" borderId="37" xfId="0" applyNumberFormat="1" applyFont="1" applyFill="1" applyBorder="1" applyAlignment="1">
      <alignment horizontal="center"/>
    </xf>
    <xf numFmtId="3" fontId="61" fillId="0" borderId="46" xfId="0" applyNumberFormat="1" applyFont="1" applyFill="1" applyBorder="1" applyAlignment="1">
      <alignment horizontal="center"/>
    </xf>
    <xf numFmtId="3" fontId="61" fillId="0" borderId="42" xfId="0" applyNumberFormat="1" applyFont="1" applyFill="1" applyBorder="1" applyAlignment="1">
      <alignment horizontal="center"/>
    </xf>
    <xf numFmtId="0" fontId="9" fillId="0" borderId="61" xfId="0" applyFont="1" applyFill="1" applyBorder="1" applyAlignment="1">
      <alignment horizontal="left" wrapText="1"/>
    </xf>
    <xf numFmtId="0" fontId="9" fillId="0" borderId="46" xfId="0" applyFont="1" applyFill="1" applyBorder="1" applyAlignment="1">
      <alignment horizontal="left" wrapText="1"/>
    </xf>
    <xf numFmtId="0" fontId="9" fillId="0" borderId="36" xfId="0" applyFont="1" applyFill="1" applyBorder="1" applyAlignment="1">
      <alignment horizontal="left" wrapText="1"/>
    </xf>
    <xf numFmtId="0" fontId="9" fillId="32" borderId="102" xfId="0" applyFont="1" applyFill="1" applyBorder="1" applyAlignment="1">
      <alignment horizontal="left" wrapText="1"/>
    </xf>
    <xf numFmtId="0" fontId="9" fillId="32" borderId="140" xfId="0" applyFont="1" applyFill="1" applyBorder="1" applyAlignment="1">
      <alignment horizontal="left" wrapText="1"/>
    </xf>
    <xf numFmtId="0" fontId="9" fillId="32" borderId="183" xfId="0" applyFont="1" applyFill="1" applyBorder="1" applyAlignment="1">
      <alignment horizontal="left" wrapText="1"/>
    </xf>
    <xf numFmtId="3" fontId="61" fillId="19" borderId="182" xfId="0" applyNumberFormat="1" applyFont="1" applyFill="1" applyBorder="1" applyAlignment="1">
      <alignment horizontal="center"/>
    </xf>
    <xf numFmtId="3" fontId="61" fillId="19" borderId="149" xfId="0" applyNumberFormat="1" applyFont="1" applyFill="1" applyBorder="1" applyAlignment="1">
      <alignment horizontal="center"/>
    </xf>
    <xf numFmtId="3" fontId="61" fillId="19" borderId="87" xfId="0" applyNumberFormat="1" applyFont="1" applyFill="1" applyBorder="1" applyAlignment="1">
      <alignment horizontal="center"/>
    </xf>
    <xf numFmtId="3" fontId="61" fillId="32" borderId="184" xfId="0" applyNumberFormat="1" applyFont="1" applyFill="1" applyBorder="1" applyAlignment="1">
      <alignment horizontal="center"/>
    </xf>
    <xf numFmtId="3" fontId="61" fillId="32" borderId="140" xfId="0" applyNumberFormat="1" applyFont="1" applyFill="1" applyBorder="1" applyAlignment="1">
      <alignment horizontal="center"/>
    </xf>
    <xf numFmtId="3" fontId="61" fillId="32" borderId="295" xfId="0" applyNumberFormat="1" applyFont="1" applyFill="1" applyBorder="1" applyAlignment="1">
      <alignment horizontal="center"/>
    </xf>
    <xf numFmtId="3" fontId="61" fillId="4" borderId="37" xfId="0" applyNumberFormat="1" applyFont="1" applyFill="1" applyBorder="1" applyAlignment="1">
      <alignment horizontal="right"/>
    </xf>
    <xf numFmtId="3" fontId="61" fillId="4" borderId="46" xfId="0" applyNumberFormat="1" applyFont="1" applyFill="1" applyBorder="1" applyAlignment="1">
      <alignment horizontal="right"/>
    </xf>
    <xf numFmtId="3" fontId="61" fillId="4" borderId="42" xfId="0" applyNumberFormat="1" applyFont="1" applyFill="1" applyBorder="1" applyAlignment="1">
      <alignment horizontal="right"/>
    </xf>
    <xf numFmtId="3" fontId="61" fillId="34" borderId="37" xfId="0" applyNumberFormat="1" applyFont="1" applyFill="1" applyBorder="1" applyAlignment="1">
      <alignment horizontal="right"/>
    </xf>
    <xf numFmtId="3" fontId="61" fillId="34" borderId="46" xfId="0" applyNumberFormat="1" applyFont="1" applyFill="1" applyBorder="1" applyAlignment="1">
      <alignment horizontal="right"/>
    </xf>
    <xf numFmtId="3" fontId="61" fillId="34" borderId="42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wrapText="1"/>
    </xf>
    <xf numFmtId="0" fontId="11" fillId="0" borderId="28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8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textRotation="90" wrapText="1"/>
    </xf>
    <xf numFmtId="0" fontId="12" fillId="0" borderId="15" xfId="0" applyFont="1" applyBorder="1" applyAlignment="1">
      <alignment horizontal="center" textRotation="90" wrapText="1"/>
    </xf>
    <xf numFmtId="0" fontId="12" fillId="0" borderId="288" xfId="0" applyFont="1" applyBorder="1" applyAlignment="1">
      <alignment horizontal="center" textRotation="90" wrapText="1"/>
    </xf>
    <xf numFmtId="0" fontId="12" fillId="0" borderId="7" xfId="0" applyFont="1" applyBorder="1" applyAlignment="1">
      <alignment horizontal="center" textRotation="90" wrapText="1"/>
    </xf>
    <xf numFmtId="0" fontId="12" fillId="0" borderId="16" xfId="0" applyFont="1" applyBorder="1" applyAlignment="1">
      <alignment horizontal="center" textRotation="90" wrapText="1"/>
    </xf>
    <xf numFmtId="0" fontId="12" fillId="0" borderId="289" xfId="0" applyFont="1" applyBorder="1" applyAlignment="1">
      <alignment horizontal="center" textRotation="90" wrapText="1"/>
    </xf>
    <xf numFmtId="0" fontId="13" fillId="0" borderId="8" xfId="0" applyFont="1" applyBorder="1" applyAlignment="1">
      <alignment horizontal="center"/>
    </xf>
    <xf numFmtId="0" fontId="14" fillId="0" borderId="9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29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/>
    </xf>
    <xf numFmtId="0" fontId="15" fillId="6" borderId="12" xfId="0" applyFont="1" applyFill="1" applyBorder="1" applyAlignment="1">
      <alignment horizontal="center" vertical="center"/>
    </xf>
    <xf numFmtId="0" fontId="15" fillId="6" borderId="285" xfId="0" applyFont="1" applyFill="1" applyBorder="1" applyAlignment="1">
      <alignment horizontal="center" vertical="center"/>
    </xf>
    <xf numFmtId="3" fontId="12" fillId="0" borderId="92" xfId="0" applyNumberFormat="1" applyFont="1" applyBorder="1" applyAlignment="1">
      <alignment horizontal="center" vertical="center" wrapText="1"/>
    </xf>
    <xf numFmtId="3" fontId="12" fillId="0" borderId="216" xfId="0" applyNumberFormat="1" applyFont="1" applyBorder="1" applyAlignment="1">
      <alignment horizontal="center" vertical="center" wrapText="1"/>
    </xf>
    <xf numFmtId="3" fontId="12" fillId="0" borderId="213" xfId="0" applyNumberFormat="1" applyFont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190" xfId="0" applyFont="1" applyFill="1" applyBorder="1" applyAlignment="1">
      <alignment horizontal="center" vertical="center" wrapText="1"/>
    </xf>
    <xf numFmtId="3" fontId="15" fillId="6" borderId="14" xfId="0" applyNumberFormat="1" applyFont="1" applyFill="1" applyBorder="1" applyAlignment="1">
      <alignment horizontal="center" vertical="center" wrapText="1"/>
    </xf>
    <xf numFmtId="3" fontId="15" fillId="6" borderId="24" xfId="0" applyNumberFormat="1" applyFont="1" applyFill="1" applyBorder="1" applyAlignment="1">
      <alignment horizontal="center" vertical="center" wrapText="1"/>
    </xf>
    <xf numFmtId="3" fontId="15" fillId="6" borderId="286" xfId="0" applyNumberFormat="1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91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92" xfId="0" applyFont="1" applyFill="1" applyBorder="1" applyAlignment="1">
      <alignment horizontal="center" vertical="center" wrapText="1"/>
    </xf>
    <xf numFmtId="0" fontId="13" fillId="5" borderId="16" xfId="0" applyFont="1" applyFill="1" applyBorder="1" applyAlignment="1">
      <alignment horizontal="center" vertical="center" wrapText="1"/>
    </xf>
    <xf numFmtId="0" fontId="13" fillId="5" borderId="289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center" vertical="center" wrapText="1"/>
    </xf>
    <xf numFmtId="0" fontId="17" fillId="0" borderId="28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300" xfId="0" applyFont="1" applyFill="1" applyBorder="1" applyAlignment="1">
      <alignment horizontal="center" vertical="center"/>
    </xf>
    <xf numFmtId="0" fontId="5" fillId="0" borderId="296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textRotation="90"/>
    </xf>
    <xf numFmtId="0" fontId="13" fillId="0" borderId="189" xfId="0" applyFont="1" applyBorder="1" applyAlignment="1">
      <alignment horizontal="center" textRotation="90"/>
    </xf>
    <xf numFmtId="0" fontId="13" fillId="0" borderId="18" xfId="0" applyFont="1" applyBorder="1" applyAlignment="1">
      <alignment horizontal="center" textRotation="90" wrapText="1"/>
    </xf>
    <xf numFmtId="0" fontId="13" fillId="0" borderId="239" xfId="0" applyFont="1" applyBorder="1" applyAlignment="1">
      <alignment horizontal="center" textRotation="90" wrapText="1"/>
    </xf>
    <xf numFmtId="3" fontId="17" fillId="0" borderId="22" xfId="0" applyNumberFormat="1" applyFont="1" applyFill="1" applyBorder="1" applyAlignment="1">
      <alignment horizontal="center" vertical="center" wrapText="1"/>
    </xf>
    <xf numFmtId="3" fontId="17" fillId="0" borderId="293" xfId="0" applyNumberFormat="1" applyFont="1" applyFill="1" applyBorder="1" applyAlignment="1">
      <alignment horizontal="center" vertical="center" wrapText="1"/>
    </xf>
    <xf numFmtId="0" fontId="15" fillId="6" borderId="23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0" fontId="11" fillId="0" borderId="103" xfId="0" applyFont="1" applyFill="1" applyBorder="1" applyAlignment="1">
      <alignment horizontal="right"/>
    </xf>
    <xf numFmtId="0" fontId="11" fillId="8" borderId="0" xfId="0" applyFont="1" applyFill="1" applyBorder="1" applyAlignment="1">
      <alignment horizontal="right"/>
    </xf>
    <xf numFmtId="0" fontId="11" fillId="8" borderId="119" xfId="0" applyFont="1" applyFill="1" applyBorder="1" applyAlignment="1">
      <alignment horizontal="right"/>
    </xf>
    <xf numFmtId="0" fontId="3" fillId="18" borderId="0" xfId="0" applyFont="1" applyFill="1" applyBorder="1" applyAlignment="1">
      <alignment horizontal="center" wrapText="1"/>
    </xf>
    <xf numFmtId="0" fontId="43" fillId="0" borderId="153" xfId="0" applyFont="1" applyFill="1" applyBorder="1" applyAlignment="1">
      <alignment horizontal="center" vertical="center"/>
    </xf>
    <xf numFmtId="0" fontId="61" fillId="0" borderId="106" xfId="0" applyFont="1" applyBorder="1" applyAlignment="1">
      <alignment horizontal="center" vertical="center" wrapText="1"/>
    </xf>
    <xf numFmtId="0" fontId="56" fillId="0" borderId="108" xfId="0" applyFont="1" applyBorder="1" applyAlignment="1">
      <alignment horizontal="center" textRotation="90" wrapText="1"/>
    </xf>
    <xf numFmtId="0" fontId="56" fillId="0" borderId="104" xfId="0" applyFont="1" applyBorder="1" applyAlignment="1">
      <alignment horizontal="center" textRotation="90" wrapText="1"/>
    </xf>
    <xf numFmtId="0" fontId="30" fillId="0" borderId="22" xfId="0" applyFont="1" applyBorder="1" applyAlignment="1">
      <alignment horizontal="center"/>
    </xf>
    <xf numFmtId="0" fontId="43" fillId="0" borderId="106" xfId="0" applyFont="1" applyFill="1" applyBorder="1" applyAlignment="1">
      <alignment horizontal="center" vertical="center" wrapText="1"/>
    </xf>
    <xf numFmtId="0" fontId="55" fillId="21" borderId="106" xfId="0" applyFont="1" applyFill="1" applyBorder="1" applyAlignment="1">
      <alignment horizontal="center" vertical="center"/>
    </xf>
    <xf numFmtId="0" fontId="55" fillId="6" borderId="5" xfId="0" applyFont="1" applyFill="1" applyBorder="1" applyAlignment="1">
      <alignment horizontal="center" vertical="center"/>
    </xf>
    <xf numFmtId="0" fontId="56" fillId="0" borderId="106" xfId="0" applyFont="1" applyBorder="1" applyAlignment="1">
      <alignment horizontal="center" vertical="center" wrapText="1"/>
    </xf>
    <xf numFmtId="0" fontId="55" fillId="6" borderId="14" xfId="0" applyFont="1" applyFill="1" applyBorder="1" applyAlignment="1">
      <alignment horizontal="center" vertical="center" wrapText="1"/>
    </xf>
    <xf numFmtId="0" fontId="55" fillId="6" borderId="156" xfId="0" applyFont="1" applyFill="1" applyBorder="1" applyAlignment="1">
      <alignment horizontal="center" vertical="center" wrapText="1"/>
    </xf>
    <xf numFmtId="0" fontId="60" fillId="0" borderId="109" xfId="0" applyFont="1" applyFill="1" applyBorder="1" applyAlignment="1">
      <alignment horizontal="center" vertical="center" wrapText="1"/>
    </xf>
    <xf numFmtId="0" fontId="55" fillId="6" borderId="23" xfId="0" applyFont="1" applyFill="1" applyBorder="1" applyAlignment="1">
      <alignment horizontal="center" vertical="center" wrapText="1"/>
    </xf>
    <xf numFmtId="0" fontId="43" fillId="0" borderId="154" xfId="0" applyFont="1" applyFill="1" applyBorder="1" applyAlignment="1">
      <alignment horizontal="center" vertical="center"/>
    </xf>
    <xf numFmtId="0" fontId="43" fillId="0" borderId="155" xfId="0" applyFont="1" applyFill="1" applyBorder="1" applyAlignment="1">
      <alignment horizontal="center" vertical="center"/>
    </xf>
    <xf numFmtId="0" fontId="30" fillId="0" borderId="43" xfId="0" applyFont="1" applyBorder="1" applyAlignment="1">
      <alignment horizontal="center" textRotation="90"/>
    </xf>
    <xf numFmtId="0" fontId="30" fillId="0" borderId="105" xfId="0" applyFont="1" applyBorder="1" applyAlignment="1">
      <alignment horizontal="center" textRotation="90" wrapText="1"/>
    </xf>
    <xf numFmtId="0" fontId="56" fillId="0" borderId="44" xfId="0" applyFont="1" applyFill="1" applyBorder="1" applyAlignment="1">
      <alignment horizontal="center" vertical="center" wrapText="1"/>
    </xf>
    <xf numFmtId="0" fontId="61" fillId="0" borderId="0" xfId="0" applyFont="1" applyBorder="1" applyAlignment="1">
      <alignment horizontal="right"/>
    </xf>
    <xf numFmtId="0" fontId="61" fillId="0" borderId="119" xfId="0" applyFont="1" applyBorder="1" applyAlignment="1">
      <alignment horizontal="right"/>
    </xf>
    <xf numFmtId="0" fontId="56" fillId="21" borderId="107" xfId="0" applyFont="1" applyFill="1" applyBorder="1" applyAlignment="1">
      <alignment horizontal="center" vertical="center" wrapText="1"/>
    </xf>
    <xf numFmtId="0" fontId="62" fillId="21" borderId="108" xfId="0" applyFont="1" applyFill="1" applyBorder="1" applyAlignment="1">
      <alignment horizontal="center" vertical="center" wrapText="1"/>
    </xf>
    <xf numFmtId="0" fontId="30" fillId="21" borderId="104" xfId="0" applyFont="1" applyFill="1" applyBorder="1" applyAlignment="1">
      <alignment horizontal="center" vertical="center" wrapText="1"/>
    </xf>
    <xf numFmtId="0" fontId="60" fillId="0" borderId="104" xfId="0" applyFont="1" applyFill="1" applyBorder="1" applyAlignment="1">
      <alignment horizontal="center" vertical="center" wrapText="1"/>
    </xf>
    <xf numFmtId="0" fontId="59" fillId="22" borderId="0" xfId="0" applyFont="1" applyFill="1" applyBorder="1" applyAlignment="1">
      <alignment horizontal="center" wrapText="1"/>
    </xf>
    <xf numFmtId="0" fontId="61" fillId="0" borderId="210" xfId="0" applyFont="1" applyBorder="1" applyAlignment="1">
      <alignment horizontal="center" vertical="center" wrapText="1"/>
    </xf>
    <xf numFmtId="0" fontId="61" fillId="0" borderId="212" xfId="0" applyFont="1" applyBorder="1" applyAlignment="1">
      <alignment horizontal="center" vertical="center" wrapText="1"/>
    </xf>
    <xf numFmtId="0" fontId="61" fillId="0" borderId="213" xfId="0" applyFont="1" applyBorder="1" applyAlignment="1">
      <alignment horizontal="center" vertical="center" wrapText="1"/>
    </xf>
    <xf numFmtId="0" fontId="56" fillId="0" borderId="165" xfId="0" applyFont="1" applyBorder="1" applyAlignment="1">
      <alignment horizontal="center" textRotation="90" wrapText="1"/>
    </xf>
    <xf numFmtId="0" fontId="56" fillId="0" borderId="166" xfId="0" applyFont="1" applyBorder="1" applyAlignment="1">
      <alignment horizontal="center" textRotation="90" wrapText="1"/>
    </xf>
    <xf numFmtId="0" fontId="43" fillId="0" borderId="153" xfId="0" applyFont="1" applyFill="1" applyBorder="1" applyAlignment="1">
      <alignment horizontal="center" vertical="center" wrapText="1"/>
    </xf>
    <xf numFmtId="0" fontId="55" fillId="21" borderId="153" xfId="0" applyFont="1" applyFill="1" applyBorder="1" applyAlignment="1">
      <alignment horizontal="center" vertical="center"/>
    </xf>
    <xf numFmtId="0" fontId="55" fillId="6" borderId="153" xfId="0" applyFont="1" applyFill="1" applyBorder="1" applyAlignment="1">
      <alignment horizontal="center" vertical="center"/>
    </xf>
    <xf numFmtId="0" fontId="56" fillId="0" borderId="153" xfId="0" applyFont="1" applyBorder="1" applyAlignment="1">
      <alignment horizontal="center" vertical="center" wrapText="1"/>
    </xf>
    <xf numFmtId="0" fontId="56" fillId="0" borderId="173" xfId="0" applyFont="1" applyFill="1" applyBorder="1" applyAlignment="1">
      <alignment horizontal="center" vertical="center" wrapText="1"/>
    </xf>
    <xf numFmtId="0" fontId="60" fillId="0" borderId="168" xfId="0" applyFont="1" applyFill="1" applyBorder="1" applyAlignment="1">
      <alignment horizontal="center" vertical="center" wrapText="1"/>
    </xf>
    <xf numFmtId="0" fontId="43" fillId="0" borderId="169" xfId="0" applyFont="1" applyFill="1" applyBorder="1" applyAlignment="1">
      <alignment horizontal="center" vertical="center"/>
    </xf>
    <xf numFmtId="0" fontId="43" fillId="0" borderId="211" xfId="0" applyFont="1" applyFill="1" applyBorder="1" applyAlignment="1">
      <alignment horizontal="center" vertical="center"/>
    </xf>
    <xf numFmtId="0" fontId="43" fillId="0" borderId="69" xfId="0" applyFont="1" applyFill="1" applyBorder="1" applyAlignment="1">
      <alignment horizontal="center" vertical="center"/>
    </xf>
    <xf numFmtId="0" fontId="43" fillId="0" borderId="83" xfId="0" applyFont="1" applyFill="1" applyBorder="1" applyAlignment="1">
      <alignment horizontal="center" vertical="center"/>
    </xf>
    <xf numFmtId="0" fontId="30" fillId="0" borderId="170" xfId="0" applyFont="1" applyBorder="1" applyAlignment="1">
      <alignment horizontal="center" textRotation="90"/>
    </xf>
    <xf numFmtId="0" fontId="30" fillId="0" borderId="171" xfId="0" applyFont="1" applyBorder="1" applyAlignment="1">
      <alignment horizontal="center" textRotation="90" wrapText="1"/>
    </xf>
    <xf numFmtId="0" fontId="61" fillId="0" borderId="164" xfId="0" applyFont="1" applyFill="1" applyBorder="1" applyAlignment="1">
      <alignment horizontal="right"/>
    </xf>
    <xf numFmtId="0" fontId="61" fillId="0" borderId="224" xfId="0" applyFont="1" applyFill="1" applyBorder="1" applyAlignment="1">
      <alignment horizontal="right"/>
    </xf>
    <xf numFmtId="0" fontId="56" fillId="21" borderId="174" xfId="0" applyFont="1" applyFill="1" applyBorder="1" applyAlignment="1">
      <alignment horizontal="center" vertical="center" wrapText="1"/>
    </xf>
    <xf numFmtId="0" fontId="62" fillId="21" borderId="167" xfId="0" applyFont="1" applyFill="1" applyBorder="1" applyAlignment="1">
      <alignment horizontal="center" vertical="center" wrapText="1"/>
    </xf>
    <xf numFmtId="0" fontId="30" fillId="21" borderId="166" xfId="0" applyFont="1" applyFill="1" applyBorder="1" applyAlignment="1">
      <alignment horizontal="center" vertical="center" wrapText="1"/>
    </xf>
    <xf numFmtId="0" fontId="60" fillId="0" borderId="166" xfId="0" applyFont="1" applyFill="1" applyBorder="1" applyAlignment="1">
      <alignment horizontal="center" vertical="center" wrapText="1"/>
    </xf>
    <xf numFmtId="0" fontId="56" fillId="0" borderId="172" xfId="0" applyFont="1" applyFill="1" applyBorder="1" applyAlignment="1">
      <alignment horizontal="center" vertical="center" wrapText="1"/>
    </xf>
  </cellXfs>
  <cellStyles count="7">
    <cellStyle name="Normální" xfId="0" builtinId="0"/>
    <cellStyle name="Normální 2" xfId="2"/>
    <cellStyle name="Normální 3" xfId="3"/>
    <cellStyle name="Normální 3 2" xfId="5"/>
    <cellStyle name="normální_2008 - 12" xfId="4"/>
    <cellStyle name="normální_Navrh IR2009 - 21_10_2008" xfId="1"/>
    <cellStyle name="normální_Sešit2" xfId="6"/>
  </cellStyles>
  <dxfs count="0"/>
  <tableStyles count="0" defaultTableStyle="TableStyleMedium2" defaultPivotStyle="PivotStyleLight16"/>
  <colors>
    <mruColors>
      <color rgb="FFC4BD97"/>
      <color rgb="FF99CC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26</xdr:row>
      <xdr:rowOff>27214</xdr:rowOff>
    </xdr:from>
    <xdr:to>
      <xdr:col>5</xdr:col>
      <xdr:colOff>476251</xdr:colOff>
      <xdr:row>26</xdr:row>
      <xdr:rowOff>244929</xdr:rowOff>
    </xdr:to>
    <xdr:cxnSp macro="">
      <xdr:nvCxnSpPr>
        <xdr:cNvPr id="5" name="Přímá spojnice se šipkou 4"/>
        <xdr:cNvCxnSpPr/>
      </xdr:nvCxnSpPr>
      <xdr:spPr bwMode="auto">
        <a:xfrm flipH="1">
          <a:off x="8305800" y="16600714"/>
          <a:ext cx="1" cy="179615"/>
        </a:xfrm>
        <a:prstGeom prst="straightConnector1">
          <a:avLst/>
        </a:prstGeom>
        <a:ln>
          <a:headEnd type="none" w="med" len="med"/>
          <a:tailEnd type="arrow"/>
        </a:ln>
        <a:extLst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49"/>
  <sheetViews>
    <sheetView topLeftCell="A19" zoomScale="85" zoomScaleNormal="85" workbookViewId="0">
      <selection activeCell="A35" sqref="A35:H35"/>
    </sheetView>
  </sheetViews>
  <sheetFormatPr defaultRowHeight="12.75" x14ac:dyDescent="0.2"/>
  <cols>
    <col min="1" max="1" width="60" customWidth="1"/>
    <col min="2" max="2" width="13.85546875" customWidth="1"/>
    <col min="3" max="3" width="13.7109375" customWidth="1"/>
    <col min="4" max="5" width="13.5703125" customWidth="1"/>
    <col min="6" max="6" width="12.28515625" customWidth="1"/>
    <col min="7" max="7" width="13.42578125" customWidth="1"/>
    <col min="8" max="8" width="14.5703125" customWidth="1"/>
    <col min="9" max="9" width="11.42578125" customWidth="1"/>
    <col min="10" max="10" width="14" customWidth="1"/>
    <col min="11" max="11" width="15.42578125" customWidth="1"/>
    <col min="12" max="12" width="11.42578125" customWidth="1"/>
    <col min="13" max="13" width="14.42578125" customWidth="1"/>
    <col min="14" max="14" width="13.5703125" customWidth="1"/>
    <col min="15" max="15" width="10.85546875" customWidth="1"/>
    <col min="16" max="16" width="14.140625" customWidth="1"/>
    <col min="257" max="257" width="57.42578125" customWidth="1"/>
    <col min="258" max="258" width="13.85546875" customWidth="1"/>
    <col min="259" max="259" width="12.42578125" customWidth="1"/>
    <col min="260" max="261" width="13.5703125" customWidth="1"/>
    <col min="262" max="262" width="12.28515625" customWidth="1"/>
    <col min="263" max="263" width="13.42578125" customWidth="1"/>
    <col min="264" max="264" width="14.5703125" customWidth="1"/>
    <col min="265" max="265" width="11.42578125" customWidth="1"/>
    <col min="266" max="266" width="14" customWidth="1"/>
    <col min="267" max="267" width="15.42578125" customWidth="1"/>
    <col min="268" max="268" width="11.42578125" customWidth="1"/>
    <col min="269" max="269" width="14.42578125" customWidth="1"/>
    <col min="270" max="270" width="11.42578125" customWidth="1"/>
    <col min="271" max="271" width="10.85546875" customWidth="1"/>
    <col min="272" max="272" width="14.140625" customWidth="1"/>
    <col min="513" max="513" width="57.42578125" customWidth="1"/>
    <col min="514" max="514" width="13.85546875" customWidth="1"/>
    <col min="515" max="515" width="12.42578125" customWidth="1"/>
    <col min="516" max="517" width="13.5703125" customWidth="1"/>
    <col min="518" max="518" width="12.28515625" customWidth="1"/>
    <col min="519" max="519" width="13.42578125" customWidth="1"/>
    <col min="520" max="520" width="14.5703125" customWidth="1"/>
    <col min="521" max="521" width="11.42578125" customWidth="1"/>
    <col min="522" max="522" width="14" customWidth="1"/>
    <col min="523" max="523" width="15.42578125" customWidth="1"/>
    <col min="524" max="524" width="11.42578125" customWidth="1"/>
    <col min="525" max="525" width="14.42578125" customWidth="1"/>
    <col min="526" max="526" width="11.42578125" customWidth="1"/>
    <col min="527" max="527" width="10.85546875" customWidth="1"/>
    <col min="528" max="528" width="14.140625" customWidth="1"/>
    <col min="769" max="769" width="57.42578125" customWidth="1"/>
    <col min="770" max="770" width="13.85546875" customWidth="1"/>
    <col min="771" max="771" width="12.42578125" customWidth="1"/>
    <col min="772" max="773" width="13.5703125" customWidth="1"/>
    <col min="774" max="774" width="12.28515625" customWidth="1"/>
    <col min="775" max="775" width="13.42578125" customWidth="1"/>
    <col min="776" max="776" width="14.5703125" customWidth="1"/>
    <col min="777" max="777" width="11.42578125" customWidth="1"/>
    <col min="778" max="778" width="14" customWidth="1"/>
    <col min="779" max="779" width="15.42578125" customWidth="1"/>
    <col min="780" max="780" width="11.42578125" customWidth="1"/>
    <col min="781" max="781" width="14.42578125" customWidth="1"/>
    <col min="782" max="782" width="11.42578125" customWidth="1"/>
    <col min="783" max="783" width="10.85546875" customWidth="1"/>
    <col min="784" max="784" width="14.140625" customWidth="1"/>
    <col min="1025" max="1025" width="57.42578125" customWidth="1"/>
    <col min="1026" max="1026" width="13.85546875" customWidth="1"/>
    <col min="1027" max="1027" width="12.42578125" customWidth="1"/>
    <col min="1028" max="1029" width="13.5703125" customWidth="1"/>
    <col min="1030" max="1030" width="12.28515625" customWidth="1"/>
    <col min="1031" max="1031" width="13.42578125" customWidth="1"/>
    <col min="1032" max="1032" width="14.5703125" customWidth="1"/>
    <col min="1033" max="1033" width="11.42578125" customWidth="1"/>
    <col min="1034" max="1034" width="14" customWidth="1"/>
    <col min="1035" max="1035" width="15.42578125" customWidth="1"/>
    <col min="1036" max="1036" width="11.42578125" customWidth="1"/>
    <col min="1037" max="1037" width="14.42578125" customWidth="1"/>
    <col min="1038" max="1038" width="11.42578125" customWidth="1"/>
    <col min="1039" max="1039" width="10.85546875" customWidth="1"/>
    <col min="1040" max="1040" width="14.140625" customWidth="1"/>
    <col min="1281" max="1281" width="57.42578125" customWidth="1"/>
    <col min="1282" max="1282" width="13.85546875" customWidth="1"/>
    <col min="1283" max="1283" width="12.42578125" customWidth="1"/>
    <col min="1284" max="1285" width="13.5703125" customWidth="1"/>
    <col min="1286" max="1286" width="12.28515625" customWidth="1"/>
    <col min="1287" max="1287" width="13.42578125" customWidth="1"/>
    <col min="1288" max="1288" width="14.5703125" customWidth="1"/>
    <col min="1289" max="1289" width="11.42578125" customWidth="1"/>
    <col min="1290" max="1290" width="14" customWidth="1"/>
    <col min="1291" max="1291" width="15.42578125" customWidth="1"/>
    <col min="1292" max="1292" width="11.42578125" customWidth="1"/>
    <col min="1293" max="1293" width="14.42578125" customWidth="1"/>
    <col min="1294" max="1294" width="11.42578125" customWidth="1"/>
    <col min="1295" max="1295" width="10.85546875" customWidth="1"/>
    <col min="1296" max="1296" width="14.140625" customWidth="1"/>
    <col min="1537" max="1537" width="57.42578125" customWidth="1"/>
    <col min="1538" max="1538" width="13.85546875" customWidth="1"/>
    <col min="1539" max="1539" width="12.42578125" customWidth="1"/>
    <col min="1540" max="1541" width="13.5703125" customWidth="1"/>
    <col min="1542" max="1542" width="12.28515625" customWidth="1"/>
    <col min="1543" max="1543" width="13.42578125" customWidth="1"/>
    <col min="1544" max="1544" width="14.5703125" customWidth="1"/>
    <col min="1545" max="1545" width="11.42578125" customWidth="1"/>
    <col min="1546" max="1546" width="14" customWidth="1"/>
    <col min="1547" max="1547" width="15.42578125" customWidth="1"/>
    <col min="1548" max="1548" width="11.42578125" customWidth="1"/>
    <col min="1549" max="1549" width="14.42578125" customWidth="1"/>
    <col min="1550" max="1550" width="11.42578125" customWidth="1"/>
    <col min="1551" max="1551" width="10.85546875" customWidth="1"/>
    <col min="1552" max="1552" width="14.140625" customWidth="1"/>
    <col min="1793" max="1793" width="57.42578125" customWidth="1"/>
    <col min="1794" max="1794" width="13.85546875" customWidth="1"/>
    <col min="1795" max="1795" width="12.42578125" customWidth="1"/>
    <col min="1796" max="1797" width="13.5703125" customWidth="1"/>
    <col min="1798" max="1798" width="12.28515625" customWidth="1"/>
    <col min="1799" max="1799" width="13.42578125" customWidth="1"/>
    <col min="1800" max="1800" width="14.5703125" customWidth="1"/>
    <col min="1801" max="1801" width="11.42578125" customWidth="1"/>
    <col min="1802" max="1802" width="14" customWidth="1"/>
    <col min="1803" max="1803" width="15.42578125" customWidth="1"/>
    <col min="1804" max="1804" width="11.42578125" customWidth="1"/>
    <col min="1805" max="1805" width="14.42578125" customWidth="1"/>
    <col min="1806" max="1806" width="11.42578125" customWidth="1"/>
    <col min="1807" max="1807" width="10.85546875" customWidth="1"/>
    <col min="1808" max="1808" width="14.140625" customWidth="1"/>
    <col min="2049" max="2049" width="57.42578125" customWidth="1"/>
    <col min="2050" max="2050" width="13.85546875" customWidth="1"/>
    <col min="2051" max="2051" width="12.42578125" customWidth="1"/>
    <col min="2052" max="2053" width="13.5703125" customWidth="1"/>
    <col min="2054" max="2054" width="12.28515625" customWidth="1"/>
    <col min="2055" max="2055" width="13.42578125" customWidth="1"/>
    <col min="2056" max="2056" width="14.5703125" customWidth="1"/>
    <col min="2057" max="2057" width="11.42578125" customWidth="1"/>
    <col min="2058" max="2058" width="14" customWidth="1"/>
    <col min="2059" max="2059" width="15.42578125" customWidth="1"/>
    <col min="2060" max="2060" width="11.42578125" customWidth="1"/>
    <col min="2061" max="2061" width="14.42578125" customWidth="1"/>
    <col min="2062" max="2062" width="11.42578125" customWidth="1"/>
    <col min="2063" max="2063" width="10.85546875" customWidth="1"/>
    <col min="2064" max="2064" width="14.140625" customWidth="1"/>
    <col min="2305" max="2305" width="57.42578125" customWidth="1"/>
    <col min="2306" max="2306" width="13.85546875" customWidth="1"/>
    <col min="2307" max="2307" width="12.42578125" customWidth="1"/>
    <col min="2308" max="2309" width="13.5703125" customWidth="1"/>
    <col min="2310" max="2310" width="12.28515625" customWidth="1"/>
    <col min="2311" max="2311" width="13.42578125" customWidth="1"/>
    <col min="2312" max="2312" width="14.5703125" customWidth="1"/>
    <col min="2313" max="2313" width="11.42578125" customWidth="1"/>
    <col min="2314" max="2314" width="14" customWidth="1"/>
    <col min="2315" max="2315" width="15.42578125" customWidth="1"/>
    <col min="2316" max="2316" width="11.42578125" customWidth="1"/>
    <col min="2317" max="2317" width="14.42578125" customWidth="1"/>
    <col min="2318" max="2318" width="11.42578125" customWidth="1"/>
    <col min="2319" max="2319" width="10.85546875" customWidth="1"/>
    <col min="2320" max="2320" width="14.140625" customWidth="1"/>
    <col min="2561" max="2561" width="57.42578125" customWidth="1"/>
    <col min="2562" max="2562" width="13.85546875" customWidth="1"/>
    <col min="2563" max="2563" width="12.42578125" customWidth="1"/>
    <col min="2564" max="2565" width="13.5703125" customWidth="1"/>
    <col min="2566" max="2566" width="12.28515625" customWidth="1"/>
    <col min="2567" max="2567" width="13.42578125" customWidth="1"/>
    <col min="2568" max="2568" width="14.5703125" customWidth="1"/>
    <col min="2569" max="2569" width="11.42578125" customWidth="1"/>
    <col min="2570" max="2570" width="14" customWidth="1"/>
    <col min="2571" max="2571" width="15.42578125" customWidth="1"/>
    <col min="2572" max="2572" width="11.42578125" customWidth="1"/>
    <col min="2573" max="2573" width="14.42578125" customWidth="1"/>
    <col min="2574" max="2574" width="11.42578125" customWidth="1"/>
    <col min="2575" max="2575" width="10.85546875" customWidth="1"/>
    <col min="2576" max="2576" width="14.140625" customWidth="1"/>
    <col min="2817" max="2817" width="57.42578125" customWidth="1"/>
    <col min="2818" max="2818" width="13.85546875" customWidth="1"/>
    <col min="2819" max="2819" width="12.42578125" customWidth="1"/>
    <col min="2820" max="2821" width="13.5703125" customWidth="1"/>
    <col min="2822" max="2822" width="12.28515625" customWidth="1"/>
    <col min="2823" max="2823" width="13.42578125" customWidth="1"/>
    <col min="2824" max="2824" width="14.5703125" customWidth="1"/>
    <col min="2825" max="2825" width="11.42578125" customWidth="1"/>
    <col min="2826" max="2826" width="14" customWidth="1"/>
    <col min="2827" max="2827" width="15.42578125" customWidth="1"/>
    <col min="2828" max="2828" width="11.42578125" customWidth="1"/>
    <col min="2829" max="2829" width="14.42578125" customWidth="1"/>
    <col min="2830" max="2830" width="11.42578125" customWidth="1"/>
    <col min="2831" max="2831" width="10.85546875" customWidth="1"/>
    <col min="2832" max="2832" width="14.140625" customWidth="1"/>
    <col min="3073" max="3073" width="57.42578125" customWidth="1"/>
    <col min="3074" max="3074" width="13.85546875" customWidth="1"/>
    <col min="3075" max="3075" width="12.42578125" customWidth="1"/>
    <col min="3076" max="3077" width="13.5703125" customWidth="1"/>
    <col min="3078" max="3078" width="12.28515625" customWidth="1"/>
    <col min="3079" max="3079" width="13.42578125" customWidth="1"/>
    <col min="3080" max="3080" width="14.5703125" customWidth="1"/>
    <col min="3081" max="3081" width="11.42578125" customWidth="1"/>
    <col min="3082" max="3082" width="14" customWidth="1"/>
    <col min="3083" max="3083" width="15.42578125" customWidth="1"/>
    <col min="3084" max="3084" width="11.42578125" customWidth="1"/>
    <col min="3085" max="3085" width="14.42578125" customWidth="1"/>
    <col min="3086" max="3086" width="11.42578125" customWidth="1"/>
    <col min="3087" max="3087" width="10.85546875" customWidth="1"/>
    <col min="3088" max="3088" width="14.140625" customWidth="1"/>
    <col min="3329" max="3329" width="57.42578125" customWidth="1"/>
    <col min="3330" max="3330" width="13.85546875" customWidth="1"/>
    <col min="3331" max="3331" width="12.42578125" customWidth="1"/>
    <col min="3332" max="3333" width="13.5703125" customWidth="1"/>
    <col min="3334" max="3334" width="12.28515625" customWidth="1"/>
    <col min="3335" max="3335" width="13.42578125" customWidth="1"/>
    <col min="3336" max="3336" width="14.5703125" customWidth="1"/>
    <col min="3337" max="3337" width="11.42578125" customWidth="1"/>
    <col min="3338" max="3338" width="14" customWidth="1"/>
    <col min="3339" max="3339" width="15.42578125" customWidth="1"/>
    <col min="3340" max="3340" width="11.42578125" customWidth="1"/>
    <col min="3341" max="3341" width="14.42578125" customWidth="1"/>
    <col min="3342" max="3342" width="11.42578125" customWidth="1"/>
    <col min="3343" max="3343" width="10.85546875" customWidth="1"/>
    <col min="3344" max="3344" width="14.140625" customWidth="1"/>
    <col min="3585" max="3585" width="57.42578125" customWidth="1"/>
    <col min="3586" max="3586" width="13.85546875" customWidth="1"/>
    <col min="3587" max="3587" width="12.42578125" customWidth="1"/>
    <col min="3588" max="3589" width="13.5703125" customWidth="1"/>
    <col min="3590" max="3590" width="12.28515625" customWidth="1"/>
    <col min="3591" max="3591" width="13.42578125" customWidth="1"/>
    <col min="3592" max="3592" width="14.5703125" customWidth="1"/>
    <col min="3593" max="3593" width="11.42578125" customWidth="1"/>
    <col min="3594" max="3594" width="14" customWidth="1"/>
    <col min="3595" max="3595" width="15.42578125" customWidth="1"/>
    <col min="3596" max="3596" width="11.42578125" customWidth="1"/>
    <col min="3597" max="3597" width="14.42578125" customWidth="1"/>
    <col min="3598" max="3598" width="11.42578125" customWidth="1"/>
    <col min="3599" max="3599" width="10.85546875" customWidth="1"/>
    <col min="3600" max="3600" width="14.140625" customWidth="1"/>
    <col min="3841" max="3841" width="57.42578125" customWidth="1"/>
    <col min="3842" max="3842" width="13.85546875" customWidth="1"/>
    <col min="3843" max="3843" width="12.42578125" customWidth="1"/>
    <col min="3844" max="3845" width="13.5703125" customWidth="1"/>
    <col min="3846" max="3846" width="12.28515625" customWidth="1"/>
    <col min="3847" max="3847" width="13.42578125" customWidth="1"/>
    <col min="3848" max="3848" width="14.5703125" customWidth="1"/>
    <col min="3849" max="3849" width="11.42578125" customWidth="1"/>
    <col min="3850" max="3850" width="14" customWidth="1"/>
    <col min="3851" max="3851" width="15.42578125" customWidth="1"/>
    <col min="3852" max="3852" width="11.42578125" customWidth="1"/>
    <col min="3853" max="3853" width="14.42578125" customWidth="1"/>
    <col min="3854" max="3854" width="11.42578125" customWidth="1"/>
    <col min="3855" max="3855" width="10.85546875" customWidth="1"/>
    <col min="3856" max="3856" width="14.140625" customWidth="1"/>
    <col min="4097" max="4097" width="57.42578125" customWidth="1"/>
    <col min="4098" max="4098" width="13.85546875" customWidth="1"/>
    <col min="4099" max="4099" width="12.42578125" customWidth="1"/>
    <col min="4100" max="4101" width="13.5703125" customWidth="1"/>
    <col min="4102" max="4102" width="12.28515625" customWidth="1"/>
    <col min="4103" max="4103" width="13.42578125" customWidth="1"/>
    <col min="4104" max="4104" width="14.5703125" customWidth="1"/>
    <col min="4105" max="4105" width="11.42578125" customWidth="1"/>
    <col min="4106" max="4106" width="14" customWidth="1"/>
    <col min="4107" max="4107" width="15.42578125" customWidth="1"/>
    <col min="4108" max="4108" width="11.42578125" customWidth="1"/>
    <col min="4109" max="4109" width="14.42578125" customWidth="1"/>
    <col min="4110" max="4110" width="11.42578125" customWidth="1"/>
    <col min="4111" max="4111" width="10.85546875" customWidth="1"/>
    <col min="4112" max="4112" width="14.140625" customWidth="1"/>
    <col min="4353" max="4353" width="57.42578125" customWidth="1"/>
    <col min="4354" max="4354" width="13.85546875" customWidth="1"/>
    <col min="4355" max="4355" width="12.42578125" customWidth="1"/>
    <col min="4356" max="4357" width="13.5703125" customWidth="1"/>
    <col min="4358" max="4358" width="12.28515625" customWidth="1"/>
    <col min="4359" max="4359" width="13.42578125" customWidth="1"/>
    <col min="4360" max="4360" width="14.5703125" customWidth="1"/>
    <col min="4361" max="4361" width="11.42578125" customWidth="1"/>
    <col min="4362" max="4362" width="14" customWidth="1"/>
    <col min="4363" max="4363" width="15.42578125" customWidth="1"/>
    <col min="4364" max="4364" width="11.42578125" customWidth="1"/>
    <col min="4365" max="4365" width="14.42578125" customWidth="1"/>
    <col min="4366" max="4366" width="11.42578125" customWidth="1"/>
    <col min="4367" max="4367" width="10.85546875" customWidth="1"/>
    <col min="4368" max="4368" width="14.140625" customWidth="1"/>
    <col min="4609" max="4609" width="57.42578125" customWidth="1"/>
    <col min="4610" max="4610" width="13.85546875" customWidth="1"/>
    <col min="4611" max="4611" width="12.42578125" customWidth="1"/>
    <col min="4612" max="4613" width="13.5703125" customWidth="1"/>
    <col min="4614" max="4614" width="12.28515625" customWidth="1"/>
    <col min="4615" max="4615" width="13.42578125" customWidth="1"/>
    <col min="4616" max="4616" width="14.5703125" customWidth="1"/>
    <col min="4617" max="4617" width="11.42578125" customWidth="1"/>
    <col min="4618" max="4618" width="14" customWidth="1"/>
    <col min="4619" max="4619" width="15.42578125" customWidth="1"/>
    <col min="4620" max="4620" width="11.42578125" customWidth="1"/>
    <col min="4621" max="4621" width="14.42578125" customWidth="1"/>
    <col min="4622" max="4622" width="11.42578125" customWidth="1"/>
    <col min="4623" max="4623" width="10.85546875" customWidth="1"/>
    <col min="4624" max="4624" width="14.140625" customWidth="1"/>
    <col min="4865" max="4865" width="57.42578125" customWidth="1"/>
    <col min="4866" max="4866" width="13.85546875" customWidth="1"/>
    <col min="4867" max="4867" width="12.42578125" customWidth="1"/>
    <col min="4868" max="4869" width="13.5703125" customWidth="1"/>
    <col min="4870" max="4870" width="12.28515625" customWidth="1"/>
    <col min="4871" max="4871" width="13.42578125" customWidth="1"/>
    <col min="4872" max="4872" width="14.5703125" customWidth="1"/>
    <col min="4873" max="4873" width="11.42578125" customWidth="1"/>
    <col min="4874" max="4874" width="14" customWidth="1"/>
    <col min="4875" max="4875" width="15.42578125" customWidth="1"/>
    <col min="4876" max="4876" width="11.42578125" customWidth="1"/>
    <col min="4877" max="4877" width="14.42578125" customWidth="1"/>
    <col min="4878" max="4878" width="11.42578125" customWidth="1"/>
    <col min="4879" max="4879" width="10.85546875" customWidth="1"/>
    <col min="4880" max="4880" width="14.140625" customWidth="1"/>
    <col min="5121" max="5121" width="57.42578125" customWidth="1"/>
    <col min="5122" max="5122" width="13.85546875" customWidth="1"/>
    <col min="5123" max="5123" width="12.42578125" customWidth="1"/>
    <col min="5124" max="5125" width="13.5703125" customWidth="1"/>
    <col min="5126" max="5126" width="12.28515625" customWidth="1"/>
    <col min="5127" max="5127" width="13.42578125" customWidth="1"/>
    <col min="5128" max="5128" width="14.5703125" customWidth="1"/>
    <col min="5129" max="5129" width="11.42578125" customWidth="1"/>
    <col min="5130" max="5130" width="14" customWidth="1"/>
    <col min="5131" max="5131" width="15.42578125" customWidth="1"/>
    <col min="5132" max="5132" width="11.42578125" customWidth="1"/>
    <col min="5133" max="5133" width="14.42578125" customWidth="1"/>
    <col min="5134" max="5134" width="11.42578125" customWidth="1"/>
    <col min="5135" max="5135" width="10.85546875" customWidth="1"/>
    <col min="5136" max="5136" width="14.140625" customWidth="1"/>
    <col min="5377" max="5377" width="57.42578125" customWidth="1"/>
    <col min="5378" max="5378" width="13.85546875" customWidth="1"/>
    <col min="5379" max="5379" width="12.42578125" customWidth="1"/>
    <col min="5380" max="5381" width="13.5703125" customWidth="1"/>
    <col min="5382" max="5382" width="12.28515625" customWidth="1"/>
    <col min="5383" max="5383" width="13.42578125" customWidth="1"/>
    <col min="5384" max="5384" width="14.5703125" customWidth="1"/>
    <col min="5385" max="5385" width="11.42578125" customWidth="1"/>
    <col min="5386" max="5386" width="14" customWidth="1"/>
    <col min="5387" max="5387" width="15.42578125" customWidth="1"/>
    <col min="5388" max="5388" width="11.42578125" customWidth="1"/>
    <col min="5389" max="5389" width="14.42578125" customWidth="1"/>
    <col min="5390" max="5390" width="11.42578125" customWidth="1"/>
    <col min="5391" max="5391" width="10.85546875" customWidth="1"/>
    <col min="5392" max="5392" width="14.140625" customWidth="1"/>
    <col min="5633" max="5633" width="57.42578125" customWidth="1"/>
    <col min="5634" max="5634" width="13.85546875" customWidth="1"/>
    <col min="5635" max="5635" width="12.42578125" customWidth="1"/>
    <col min="5636" max="5637" width="13.5703125" customWidth="1"/>
    <col min="5638" max="5638" width="12.28515625" customWidth="1"/>
    <col min="5639" max="5639" width="13.42578125" customWidth="1"/>
    <col min="5640" max="5640" width="14.5703125" customWidth="1"/>
    <col min="5641" max="5641" width="11.42578125" customWidth="1"/>
    <col min="5642" max="5642" width="14" customWidth="1"/>
    <col min="5643" max="5643" width="15.42578125" customWidth="1"/>
    <col min="5644" max="5644" width="11.42578125" customWidth="1"/>
    <col min="5645" max="5645" width="14.42578125" customWidth="1"/>
    <col min="5646" max="5646" width="11.42578125" customWidth="1"/>
    <col min="5647" max="5647" width="10.85546875" customWidth="1"/>
    <col min="5648" max="5648" width="14.140625" customWidth="1"/>
    <col min="5889" max="5889" width="57.42578125" customWidth="1"/>
    <col min="5890" max="5890" width="13.85546875" customWidth="1"/>
    <col min="5891" max="5891" width="12.42578125" customWidth="1"/>
    <col min="5892" max="5893" width="13.5703125" customWidth="1"/>
    <col min="5894" max="5894" width="12.28515625" customWidth="1"/>
    <col min="5895" max="5895" width="13.42578125" customWidth="1"/>
    <col min="5896" max="5896" width="14.5703125" customWidth="1"/>
    <col min="5897" max="5897" width="11.42578125" customWidth="1"/>
    <col min="5898" max="5898" width="14" customWidth="1"/>
    <col min="5899" max="5899" width="15.42578125" customWidth="1"/>
    <col min="5900" max="5900" width="11.42578125" customWidth="1"/>
    <col min="5901" max="5901" width="14.42578125" customWidth="1"/>
    <col min="5902" max="5902" width="11.42578125" customWidth="1"/>
    <col min="5903" max="5903" width="10.85546875" customWidth="1"/>
    <col min="5904" max="5904" width="14.140625" customWidth="1"/>
    <col min="6145" max="6145" width="57.42578125" customWidth="1"/>
    <col min="6146" max="6146" width="13.85546875" customWidth="1"/>
    <col min="6147" max="6147" width="12.42578125" customWidth="1"/>
    <col min="6148" max="6149" width="13.5703125" customWidth="1"/>
    <col min="6150" max="6150" width="12.28515625" customWidth="1"/>
    <col min="6151" max="6151" width="13.42578125" customWidth="1"/>
    <col min="6152" max="6152" width="14.5703125" customWidth="1"/>
    <col min="6153" max="6153" width="11.42578125" customWidth="1"/>
    <col min="6154" max="6154" width="14" customWidth="1"/>
    <col min="6155" max="6155" width="15.42578125" customWidth="1"/>
    <col min="6156" max="6156" width="11.42578125" customWidth="1"/>
    <col min="6157" max="6157" width="14.42578125" customWidth="1"/>
    <col min="6158" max="6158" width="11.42578125" customWidth="1"/>
    <col min="6159" max="6159" width="10.85546875" customWidth="1"/>
    <col min="6160" max="6160" width="14.140625" customWidth="1"/>
    <col min="6401" max="6401" width="57.42578125" customWidth="1"/>
    <col min="6402" max="6402" width="13.85546875" customWidth="1"/>
    <col min="6403" max="6403" width="12.42578125" customWidth="1"/>
    <col min="6404" max="6405" width="13.5703125" customWidth="1"/>
    <col min="6406" max="6406" width="12.28515625" customWidth="1"/>
    <col min="6407" max="6407" width="13.42578125" customWidth="1"/>
    <col min="6408" max="6408" width="14.5703125" customWidth="1"/>
    <col min="6409" max="6409" width="11.42578125" customWidth="1"/>
    <col min="6410" max="6410" width="14" customWidth="1"/>
    <col min="6411" max="6411" width="15.42578125" customWidth="1"/>
    <col min="6412" max="6412" width="11.42578125" customWidth="1"/>
    <col min="6413" max="6413" width="14.42578125" customWidth="1"/>
    <col min="6414" max="6414" width="11.42578125" customWidth="1"/>
    <col min="6415" max="6415" width="10.85546875" customWidth="1"/>
    <col min="6416" max="6416" width="14.140625" customWidth="1"/>
    <col min="6657" max="6657" width="57.42578125" customWidth="1"/>
    <col min="6658" max="6658" width="13.85546875" customWidth="1"/>
    <col min="6659" max="6659" width="12.42578125" customWidth="1"/>
    <col min="6660" max="6661" width="13.5703125" customWidth="1"/>
    <col min="6662" max="6662" width="12.28515625" customWidth="1"/>
    <col min="6663" max="6663" width="13.42578125" customWidth="1"/>
    <col min="6664" max="6664" width="14.5703125" customWidth="1"/>
    <col min="6665" max="6665" width="11.42578125" customWidth="1"/>
    <col min="6666" max="6666" width="14" customWidth="1"/>
    <col min="6667" max="6667" width="15.42578125" customWidth="1"/>
    <col min="6668" max="6668" width="11.42578125" customWidth="1"/>
    <col min="6669" max="6669" width="14.42578125" customWidth="1"/>
    <col min="6670" max="6670" width="11.42578125" customWidth="1"/>
    <col min="6671" max="6671" width="10.85546875" customWidth="1"/>
    <col min="6672" max="6672" width="14.140625" customWidth="1"/>
    <col min="6913" max="6913" width="57.42578125" customWidth="1"/>
    <col min="6914" max="6914" width="13.85546875" customWidth="1"/>
    <col min="6915" max="6915" width="12.42578125" customWidth="1"/>
    <col min="6916" max="6917" width="13.5703125" customWidth="1"/>
    <col min="6918" max="6918" width="12.28515625" customWidth="1"/>
    <col min="6919" max="6919" width="13.42578125" customWidth="1"/>
    <col min="6920" max="6920" width="14.5703125" customWidth="1"/>
    <col min="6921" max="6921" width="11.42578125" customWidth="1"/>
    <col min="6922" max="6922" width="14" customWidth="1"/>
    <col min="6923" max="6923" width="15.42578125" customWidth="1"/>
    <col min="6924" max="6924" width="11.42578125" customWidth="1"/>
    <col min="6925" max="6925" width="14.42578125" customWidth="1"/>
    <col min="6926" max="6926" width="11.42578125" customWidth="1"/>
    <col min="6927" max="6927" width="10.85546875" customWidth="1"/>
    <col min="6928" max="6928" width="14.140625" customWidth="1"/>
    <col min="7169" max="7169" width="57.42578125" customWidth="1"/>
    <col min="7170" max="7170" width="13.85546875" customWidth="1"/>
    <col min="7171" max="7171" width="12.42578125" customWidth="1"/>
    <col min="7172" max="7173" width="13.5703125" customWidth="1"/>
    <col min="7174" max="7174" width="12.28515625" customWidth="1"/>
    <col min="7175" max="7175" width="13.42578125" customWidth="1"/>
    <col min="7176" max="7176" width="14.5703125" customWidth="1"/>
    <col min="7177" max="7177" width="11.42578125" customWidth="1"/>
    <col min="7178" max="7178" width="14" customWidth="1"/>
    <col min="7179" max="7179" width="15.42578125" customWidth="1"/>
    <col min="7180" max="7180" width="11.42578125" customWidth="1"/>
    <col min="7181" max="7181" width="14.42578125" customWidth="1"/>
    <col min="7182" max="7182" width="11.42578125" customWidth="1"/>
    <col min="7183" max="7183" width="10.85546875" customWidth="1"/>
    <col min="7184" max="7184" width="14.140625" customWidth="1"/>
    <col min="7425" max="7425" width="57.42578125" customWidth="1"/>
    <col min="7426" max="7426" width="13.85546875" customWidth="1"/>
    <col min="7427" max="7427" width="12.42578125" customWidth="1"/>
    <col min="7428" max="7429" width="13.5703125" customWidth="1"/>
    <col min="7430" max="7430" width="12.28515625" customWidth="1"/>
    <col min="7431" max="7431" width="13.42578125" customWidth="1"/>
    <col min="7432" max="7432" width="14.5703125" customWidth="1"/>
    <col min="7433" max="7433" width="11.42578125" customWidth="1"/>
    <col min="7434" max="7434" width="14" customWidth="1"/>
    <col min="7435" max="7435" width="15.42578125" customWidth="1"/>
    <col min="7436" max="7436" width="11.42578125" customWidth="1"/>
    <col min="7437" max="7437" width="14.42578125" customWidth="1"/>
    <col min="7438" max="7438" width="11.42578125" customWidth="1"/>
    <col min="7439" max="7439" width="10.85546875" customWidth="1"/>
    <col min="7440" max="7440" width="14.140625" customWidth="1"/>
    <col min="7681" max="7681" width="57.42578125" customWidth="1"/>
    <col min="7682" max="7682" width="13.85546875" customWidth="1"/>
    <col min="7683" max="7683" width="12.42578125" customWidth="1"/>
    <col min="7684" max="7685" width="13.5703125" customWidth="1"/>
    <col min="7686" max="7686" width="12.28515625" customWidth="1"/>
    <col min="7687" max="7687" width="13.42578125" customWidth="1"/>
    <col min="7688" max="7688" width="14.5703125" customWidth="1"/>
    <col min="7689" max="7689" width="11.42578125" customWidth="1"/>
    <col min="7690" max="7690" width="14" customWidth="1"/>
    <col min="7691" max="7691" width="15.42578125" customWidth="1"/>
    <col min="7692" max="7692" width="11.42578125" customWidth="1"/>
    <col min="7693" max="7693" width="14.42578125" customWidth="1"/>
    <col min="7694" max="7694" width="11.42578125" customWidth="1"/>
    <col min="7695" max="7695" width="10.85546875" customWidth="1"/>
    <col min="7696" max="7696" width="14.140625" customWidth="1"/>
    <col min="7937" max="7937" width="57.42578125" customWidth="1"/>
    <col min="7938" max="7938" width="13.85546875" customWidth="1"/>
    <col min="7939" max="7939" width="12.42578125" customWidth="1"/>
    <col min="7940" max="7941" width="13.5703125" customWidth="1"/>
    <col min="7942" max="7942" width="12.28515625" customWidth="1"/>
    <col min="7943" max="7943" width="13.42578125" customWidth="1"/>
    <col min="7944" max="7944" width="14.5703125" customWidth="1"/>
    <col min="7945" max="7945" width="11.42578125" customWidth="1"/>
    <col min="7946" max="7946" width="14" customWidth="1"/>
    <col min="7947" max="7947" width="15.42578125" customWidth="1"/>
    <col min="7948" max="7948" width="11.42578125" customWidth="1"/>
    <col min="7949" max="7949" width="14.42578125" customWidth="1"/>
    <col min="7950" max="7950" width="11.42578125" customWidth="1"/>
    <col min="7951" max="7951" width="10.85546875" customWidth="1"/>
    <col min="7952" max="7952" width="14.140625" customWidth="1"/>
    <col min="8193" max="8193" width="57.42578125" customWidth="1"/>
    <col min="8194" max="8194" width="13.85546875" customWidth="1"/>
    <col min="8195" max="8195" width="12.42578125" customWidth="1"/>
    <col min="8196" max="8197" width="13.5703125" customWidth="1"/>
    <col min="8198" max="8198" width="12.28515625" customWidth="1"/>
    <col min="8199" max="8199" width="13.42578125" customWidth="1"/>
    <col min="8200" max="8200" width="14.5703125" customWidth="1"/>
    <col min="8201" max="8201" width="11.42578125" customWidth="1"/>
    <col min="8202" max="8202" width="14" customWidth="1"/>
    <col min="8203" max="8203" width="15.42578125" customWidth="1"/>
    <col min="8204" max="8204" width="11.42578125" customWidth="1"/>
    <col min="8205" max="8205" width="14.42578125" customWidth="1"/>
    <col min="8206" max="8206" width="11.42578125" customWidth="1"/>
    <col min="8207" max="8207" width="10.85546875" customWidth="1"/>
    <col min="8208" max="8208" width="14.140625" customWidth="1"/>
    <col min="8449" max="8449" width="57.42578125" customWidth="1"/>
    <col min="8450" max="8450" width="13.85546875" customWidth="1"/>
    <col min="8451" max="8451" width="12.42578125" customWidth="1"/>
    <col min="8452" max="8453" width="13.5703125" customWidth="1"/>
    <col min="8454" max="8454" width="12.28515625" customWidth="1"/>
    <col min="8455" max="8455" width="13.42578125" customWidth="1"/>
    <col min="8456" max="8456" width="14.5703125" customWidth="1"/>
    <col min="8457" max="8457" width="11.42578125" customWidth="1"/>
    <col min="8458" max="8458" width="14" customWidth="1"/>
    <col min="8459" max="8459" width="15.42578125" customWidth="1"/>
    <col min="8460" max="8460" width="11.42578125" customWidth="1"/>
    <col min="8461" max="8461" width="14.42578125" customWidth="1"/>
    <col min="8462" max="8462" width="11.42578125" customWidth="1"/>
    <col min="8463" max="8463" width="10.85546875" customWidth="1"/>
    <col min="8464" max="8464" width="14.140625" customWidth="1"/>
    <col min="8705" max="8705" width="57.42578125" customWidth="1"/>
    <col min="8706" max="8706" width="13.85546875" customWidth="1"/>
    <col min="8707" max="8707" width="12.42578125" customWidth="1"/>
    <col min="8708" max="8709" width="13.5703125" customWidth="1"/>
    <col min="8710" max="8710" width="12.28515625" customWidth="1"/>
    <col min="8711" max="8711" width="13.42578125" customWidth="1"/>
    <col min="8712" max="8712" width="14.5703125" customWidth="1"/>
    <col min="8713" max="8713" width="11.42578125" customWidth="1"/>
    <col min="8714" max="8714" width="14" customWidth="1"/>
    <col min="8715" max="8715" width="15.42578125" customWidth="1"/>
    <col min="8716" max="8716" width="11.42578125" customWidth="1"/>
    <col min="8717" max="8717" width="14.42578125" customWidth="1"/>
    <col min="8718" max="8718" width="11.42578125" customWidth="1"/>
    <col min="8719" max="8719" width="10.85546875" customWidth="1"/>
    <col min="8720" max="8720" width="14.140625" customWidth="1"/>
    <col min="8961" max="8961" width="57.42578125" customWidth="1"/>
    <col min="8962" max="8962" width="13.85546875" customWidth="1"/>
    <col min="8963" max="8963" width="12.42578125" customWidth="1"/>
    <col min="8964" max="8965" width="13.5703125" customWidth="1"/>
    <col min="8966" max="8966" width="12.28515625" customWidth="1"/>
    <col min="8967" max="8967" width="13.42578125" customWidth="1"/>
    <col min="8968" max="8968" width="14.5703125" customWidth="1"/>
    <col min="8969" max="8969" width="11.42578125" customWidth="1"/>
    <col min="8970" max="8970" width="14" customWidth="1"/>
    <col min="8971" max="8971" width="15.42578125" customWidth="1"/>
    <col min="8972" max="8972" width="11.42578125" customWidth="1"/>
    <col min="8973" max="8973" width="14.42578125" customWidth="1"/>
    <col min="8974" max="8974" width="11.42578125" customWidth="1"/>
    <col min="8975" max="8975" width="10.85546875" customWidth="1"/>
    <col min="8976" max="8976" width="14.140625" customWidth="1"/>
    <col min="9217" max="9217" width="57.42578125" customWidth="1"/>
    <col min="9218" max="9218" width="13.85546875" customWidth="1"/>
    <col min="9219" max="9219" width="12.42578125" customWidth="1"/>
    <col min="9220" max="9221" width="13.5703125" customWidth="1"/>
    <col min="9222" max="9222" width="12.28515625" customWidth="1"/>
    <col min="9223" max="9223" width="13.42578125" customWidth="1"/>
    <col min="9224" max="9224" width="14.5703125" customWidth="1"/>
    <col min="9225" max="9225" width="11.42578125" customWidth="1"/>
    <col min="9226" max="9226" width="14" customWidth="1"/>
    <col min="9227" max="9227" width="15.42578125" customWidth="1"/>
    <col min="9228" max="9228" width="11.42578125" customWidth="1"/>
    <col min="9229" max="9229" width="14.42578125" customWidth="1"/>
    <col min="9230" max="9230" width="11.42578125" customWidth="1"/>
    <col min="9231" max="9231" width="10.85546875" customWidth="1"/>
    <col min="9232" max="9232" width="14.140625" customWidth="1"/>
    <col min="9473" max="9473" width="57.42578125" customWidth="1"/>
    <col min="9474" max="9474" width="13.85546875" customWidth="1"/>
    <col min="9475" max="9475" width="12.42578125" customWidth="1"/>
    <col min="9476" max="9477" width="13.5703125" customWidth="1"/>
    <col min="9478" max="9478" width="12.28515625" customWidth="1"/>
    <col min="9479" max="9479" width="13.42578125" customWidth="1"/>
    <col min="9480" max="9480" width="14.5703125" customWidth="1"/>
    <col min="9481" max="9481" width="11.42578125" customWidth="1"/>
    <col min="9482" max="9482" width="14" customWidth="1"/>
    <col min="9483" max="9483" width="15.42578125" customWidth="1"/>
    <col min="9484" max="9484" width="11.42578125" customWidth="1"/>
    <col min="9485" max="9485" width="14.42578125" customWidth="1"/>
    <col min="9486" max="9486" width="11.42578125" customWidth="1"/>
    <col min="9487" max="9487" width="10.85546875" customWidth="1"/>
    <col min="9488" max="9488" width="14.140625" customWidth="1"/>
    <col min="9729" max="9729" width="57.42578125" customWidth="1"/>
    <col min="9730" max="9730" width="13.85546875" customWidth="1"/>
    <col min="9731" max="9731" width="12.42578125" customWidth="1"/>
    <col min="9732" max="9733" width="13.5703125" customWidth="1"/>
    <col min="9734" max="9734" width="12.28515625" customWidth="1"/>
    <col min="9735" max="9735" width="13.42578125" customWidth="1"/>
    <col min="9736" max="9736" width="14.5703125" customWidth="1"/>
    <col min="9737" max="9737" width="11.42578125" customWidth="1"/>
    <col min="9738" max="9738" width="14" customWidth="1"/>
    <col min="9739" max="9739" width="15.42578125" customWidth="1"/>
    <col min="9740" max="9740" width="11.42578125" customWidth="1"/>
    <col min="9741" max="9741" width="14.42578125" customWidth="1"/>
    <col min="9742" max="9742" width="11.42578125" customWidth="1"/>
    <col min="9743" max="9743" width="10.85546875" customWidth="1"/>
    <col min="9744" max="9744" width="14.140625" customWidth="1"/>
    <col min="9985" max="9985" width="57.42578125" customWidth="1"/>
    <col min="9986" max="9986" width="13.85546875" customWidth="1"/>
    <col min="9987" max="9987" width="12.42578125" customWidth="1"/>
    <col min="9988" max="9989" width="13.5703125" customWidth="1"/>
    <col min="9990" max="9990" width="12.28515625" customWidth="1"/>
    <col min="9991" max="9991" width="13.42578125" customWidth="1"/>
    <col min="9992" max="9992" width="14.5703125" customWidth="1"/>
    <col min="9993" max="9993" width="11.42578125" customWidth="1"/>
    <col min="9994" max="9994" width="14" customWidth="1"/>
    <col min="9995" max="9995" width="15.42578125" customWidth="1"/>
    <col min="9996" max="9996" width="11.42578125" customWidth="1"/>
    <col min="9997" max="9997" width="14.42578125" customWidth="1"/>
    <col min="9998" max="9998" width="11.42578125" customWidth="1"/>
    <col min="9999" max="9999" width="10.85546875" customWidth="1"/>
    <col min="10000" max="10000" width="14.140625" customWidth="1"/>
    <col min="10241" max="10241" width="57.42578125" customWidth="1"/>
    <col min="10242" max="10242" width="13.85546875" customWidth="1"/>
    <col min="10243" max="10243" width="12.42578125" customWidth="1"/>
    <col min="10244" max="10245" width="13.5703125" customWidth="1"/>
    <col min="10246" max="10246" width="12.28515625" customWidth="1"/>
    <col min="10247" max="10247" width="13.42578125" customWidth="1"/>
    <col min="10248" max="10248" width="14.5703125" customWidth="1"/>
    <col min="10249" max="10249" width="11.42578125" customWidth="1"/>
    <col min="10250" max="10250" width="14" customWidth="1"/>
    <col min="10251" max="10251" width="15.42578125" customWidth="1"/>
    <col min="10252" max="10252" width="11.42578125" customWidth="1"/>
    <col min="10253" max="10253" width="14.42578125" customWidth="1"/>
    <col min="10254" max="10254" width="11.42578125" customWidth="1"/>
    <col min="10255" max="10255" width="10.85546875" customWidth="1"/>
    <col min="10256" max="10256" width="14.140625" customWidth="1"/>
    <col min="10497" max="10497" width="57.42578125" customWidth="1"/>
    <col min="10498" max="10498" width="13.85546875" customWidth="1"/>
    <col min="10499" max="10499" width="12.42578125" customWidth="1"/>
    <col min="10500" max="10501" width="13.5703125" customWidth="1"/>
    <col min="10502" max="10502" width="12.28515625" customWidth="1"/>
    <col min="10503" max="10503" width="13.42578125" customWidth="1"/>
    <col min="10504" max="10504" width="14.5703125" customWidth="1"/>
    <col min="10505" max="10505" width="11.42578125" customWidth="1"/>
    <col min="10506" max="10506" width="14" customWidth="1"/>
    <col min="10507" max="10507" width="15.42578125" customWidth="1"/>
    <col min="10508" max="10508" width="11.42578125" customWidth="1"/>
    <col min="10509" max="10509" width="14.42578125" customWidth="1"/>
    <col min="10510" max="10510" width="11.42578125" customWidth="1"/>
    <col min="10511" max="10511" width="10.85546875" customWidth="1"/>
    <col min="10512" max="10512" width="14.140625" customWidth="1"/>
    <col min="10753" max="10753" width="57.42578125" customWidth="1"/>
    <col min="10754" max="10754" width="13.85546875" customWidth="1"/>
    <col min="10755" max="10755" width="12.42578125" customWidth="1"/>
    <col min="10756" max="10757" width="13.5703125" customWidth="1"/>
    <col min="10758" max="10758" width="12.28515625" customWidth="1"/>
    <col min="10759" max="10759" width="13.42578125" customWidth="1"/>
    <col min="10760" max="10760" width="14.5703125" customWidth="1"/>
    <col min="10761" max="10761" width="11.42578125" customWidth="1"/>
    <col min="10762" max="10762" width="14" customWidth="1"/>
    <col min="10763" max="10763" width="15.42578125" customWidth="1"/>
    <col min="10764" max="10764" width="11.42578125" customWidth="1"/>
    <col min="10765" max="10765" width="14.42578125" customWidth="1"/>
    <col min="10766" max="10766" width="11.42578125" customWidth="1"/>
    <col min="10767" max="10767" width="10.85546875" customWidth="1"/>
    <col min="10768" max="10768" width="14.140625" customWidth="1"/>
    <col min="11009" max="11009" width="57.42578125" customWidth="1"/>
    <col min="11010" max="11010" width="13.85546875" customWidth="1"/>
    <col min="11011" max="11011" width="12.42578125" customWidth="1"/>
    <col min="11012" max="11013" width="13.5703125" customWidth="1"/>
    <col min="11014" max="11014" width="12.28515625" customWidth="1"/>
    <col min="11015" max="11015" width="13.42578125" customWidth="1"/>
    <col min="11016" max="11016" width="14.5703125" customWidth="1"/>
    <col min="11017" max="11017" width="11.42578125" customWidth="1"/>
    <col min="11018" max="11018" width="14" customWidth="1"/>
    <col min="11019" max="11019" width="15.42578125" customWidth="1"/>
    <col min="11020" max="11020" width="11.42578125" customWidth="1"/>
    <col min="11021" max="11021" width="14.42578125" customWidth="1"/>
    <col min="11022" max="11022" width="11.42578125" customWidth="1"/>
    <col min="11023" max="11023" width="10.85546875" customWidth="1"/>
    <col min="11024" max="11024" width="14.140625" customWidth="1"/>
    <col min="11265" max="11265" width="57.42578125" customWidth="1"/>
    <col min="11266" max="11266" width="13.85546875" customWidth="1"/>
    <col min="11267" max="11267" width="12.42578125" customWidth="1"/>
    <col min="11268" max="11269" width="13.5703125" customWidth="1"/>
    <col min="11270" max="11270" width="12.28515625" customWidth="1"/>
    <col min="11271" max="11271" width="13.42578125" customWidth="1"/>
    <col min="11272" max="11272" width="14.5703125" customWidth="1"/>
    <col min="11273" max="11273" width="11.42578125" customWidth="1"/>
    <col min="11274" max="11274" width="14" customWidth="1"/>
    <col min="11275" max="11275" width="15.42578125" customWidth="1"/>
    <col min="11276" max="11276" width="11.42578125" customWidth="1"/>
    <col min="11277" max="11277" width="14.42578125" customWidth="1"/>
    <col min="11278" max="11278" width="11.42578125" customWidth="1"/>
    <col min="11279" max="11279" width="10.85546875" customWidth="1"/>
    <col min="11280" max="11280" width="14.140625" customWidth="1"/>
    <col min="11521" max="11521" width="57.42578125" customWidth="1"/>
    <col min="11522" max="11522" width="13.85546875" customWidth="1"/>
    <col min="11523" max="11523" width="12.42578125" customWidth="1"/>
    <col min="11524" max="11525" width="13.5703125" customWidth="1"/>
    <col min="11526" max="11526" width="12.28515625" customWidth="1"/>
    <col min="11527" max="11527" width="13.42578125" customWidth="1"/>
    <col min="11528" max="11528" width="14.5703125" customWidth="1"/>
    <col min="11529" max="11529" width="11.42578125" customWidth="1"/>
    <col min="11530" max="11530" width="14" customWidth="1"/>
    <col min="11531" max="11531" width="15.42578125" customWidth="1"/>
    <col min="11532" max="11532" width="11.42578125" customWidth="1"/>
    <col min="11533" max="11533" width="14.42578125" customWidth="1"/>
    <col min="11534" max="11534" width="11.42578125" customWidth="1"/>
    <col min="11535" max="11535" width="10.85546875" customWidth="1"/>
    <col min="11536" max="11536" width="14.140625" customWidth="1"/>
    <col min="11777" max="11777" width="57.42578125" customWidth="1"/>
    <col min="11778" max="11778" width="13.85546875" customWidth="1"/>
    <col min="11779" max="11779" width="12.42578125" customWidth="1"/>
    <col min="11780" max="11781" width="13.5703125" customWidth="1"/>
    <col min="11782" max="11782" width="12.28515625" customWidth="1"/>
    <col min="11783" max="11783" width="13.42578125" customWidth="1"/>
    <col min="11784" max="11784" width="14.5703125" customWidth="1"/>
    <col min="11785" max="11785" width="11.42578125" customWidth="1"/>
    <col min="11786" max="11786" width="14" customWidth="1"/>
    <col min="11787" max="11787" width="15.42578125" customWidth="1"/>
    <col min="11788" max="11788" width="11.42578125" customWidth="1"/>
    <col min="11789" max="11789" width="14.42578125" customWidth="1"/>
    <col min="11790" max="11790" width="11.42578125" customWidth="1"/>
    <col min="11791" max="11791" width="10.85546875" customWidth="1"/>
    <col min="11792" max="11792" width="14.140625" customWidth="1"/>
    <col min="12033" max="12033" width="57.42578125" customWidth="1"/>
    <col min="12034" max="12034" width="13.85546875" customWidth="1"/>
    <col min="12035" max="12035" width="12.42578125" customWidth="1"/>
    <col min="12036" max="12037" width="13.5703125" customWidth="1"/>
    <col min="12038" max="12038" width="12.28515625" customWidth="1"/>
    <col min="12039" max="12039" width="13.42578125" customWidth="1"/>
    <col min="12040" max="12040" width="14.5703125" customWidth="1"/>
    <col min="12041" max="12041" width="11.42578125" customWidth="1"/>
    <col min="12042" max="12042" width="14" customWidth="1"/>
    <col min="12043" max="12043" width="15.42578125" customWidth="1"/>
    <col min="12044" max="12044" width="11.42578125" customWidth="1"/>
    <col min="12045" max="12045" width="14.42578125" customWidth="1"/>
    <col min="12046" max="12046" width="11.42578125" customWidth="1"/>
    <col min="12047" max="12047" width="10.85546875" customWidth="1"/>
    <col min="12048" max="12048" width="14.140625" customWidth="1"/>
    <col min="12289" max="12289" width="57.42578125" customWidth="1"/>
    <col min="12290" max="12290" width="13.85546875" customWidth="1"/>
    <col min="12291" max="12291" width="12.42578125" customWidth="1"/>
    <col min="12292" max="12293" width="13.5703125" customWidth="1"/>
    <col min="12294" max="12294" width="12.28515625" customWidth="1"/>
    <col min="12295" max="12295" width="13.42578125" customWidth="1"/>
    <col min="12296" max="12296" width="14.5703125" customWidth="1"/>
    <col min="12297" max="12297" width="11.42578125" customWidth="1"/>
    <col min="12298" max="12298" width="14" customWidth="1"/>
    <col min="12299" max="12299" width="15.42578125" customWidth="1"/>
    <col min="12300" max="12300" width="11.42578125" customWidth="1"/>
    <col min="12301" max="12301" width="14.42578125" customWidth="1"/>
    <col min="12302" max="12302" width="11.42578125" customWidth="1"/>
    <col min="12303" max="12303" width="10.85546875" customWidth="1"/>
    <col min="12304" max="12304" width="14.140625" customWidth="1"/>
    <col min="12545" max="12545" width="57.42578125" customWidth="1"/>
    <col min="12546" max="12546" width="13.85546875" customWidth="1"/>
    <col min="12547" max="12547" width="12.42578125" customWidth="1"/>
    <col min="12548" max="12549" width="13.5703125" customWidth="1"/>
    <col min="12550" max="12550" width="12.28515625" customWidth="1"/>
    <col min="12551" max="12551" width="13.42578125" customWidth="1"/>
    <col min="12552" max="12552" width="14.5703125" customWidth="1"/>
    <col min="12553" max="12553" width="11.42578125" customWidth="1"/>
    <col min="12554" max="12554" width="14" customWidth="1"/>
    <col min="12555" max="12555" width="15.42578125" customWidth="1"/>
    <col min="12556" max="12556" width="11.42578125" customWidth="1"/>
    <col min="12557" max="12557" width="14.42578125" customWidth="1"/>
    <col min="12558" max="12558" width="11.42578125" customWidth="1"/>
    <col min="12559" max="12559" width="10.85546875" customWidth="1"/>
    <col min="12560" max="12560" width="14.140625" customWidth="1"/>
    <col min="12801" max="12801" width="57.42578125" customWidth="1"/>
    <col min="12802" max="12802" width="13.85546875" customWidth="1"/>
    <col min="12803" max="12803" width="12.42578125" customWidth="1"/>
    <col min="12804" max="12805" width="13.5703125" customWidth="1"/>
    <col min="12806" max="12806" width="12.28515625" customWidth="1"/>
    <col min="12807" max="12807" width="13.42578125" customWidth="1"/>
    <col min="12808" max="12808" width="14.5703125" customWidth="1"/>
    <col min="12809" max="12809" width="11.42578125" customWidth="1"/>
    <col min="12810" max="12810" width="14" customWidth="1"/>
    <col min="12811" max="12811" width="15.42578125" customWidth="1"/>
    <col min="12812" max="12812" width="11.42578125" customWidth="1"/>
    <col min="12813" max="12813" width="14.42578125" customWidth="1"/>
    <col min="12814" max="12814" width="11.42578125" customWidth="1"/>
    <col min="12815" max="12815" width="10.85546875" customWidth="1"/>
    <col min="12816" max="12816" width="14.140625" customWidth="1"/>
    <col min="13057" max="13057" width="57.42578125" customWidth="1"/>
    <col min="13058" max="13058" width="13.85546875" customWidth="1"/>
    <col min="13059" max="13059" width="12.42578125" customWidth="1"/>
    <col min="13060" max="13061" width="13.5703125" customWidth="1"/>
    <col min="13062" max="13062" width="12.28515625" customWidth="1"/>
    <col min="13063" max="13063" width="13.42578125" customWidth="1"/>
    <col min="13064" max="13064" width="14.5703125" customWidth="1"/>
    <col min="13065" max="13065" width="11.42578125" customWidth="1"/>
    <col min="13066" max="13066" width="14" customWidth="1"/>
    <col min="13067" max="13067" width="15.42578125" customWidth="1"/>
    <col min="13068" max="13068" width="11.42578125" customWidth="1"/>
    <col min="13069" max="13069" width="14.42578125" customWidth="1"/>
    <col min="13070" max="13070" width="11.42578125" customWidth="1"/>
    <col min="13071" max="13071" width="10.85546875" customWidth="1"/>
    <col min="13072" max="13072" width="14.140625" customWidth="1"/>
    <col min="13313" max="13313" width="57.42578125" customWidth="1"/>
    <col min="13314" max="13314" width="13.85546875" customWidth="1"/>
    <col min="13315" max="13315" width="12.42578125" customWidth="1"/>
    <col min="13316" max="13317" width="13.5703125" customWidth="1"/>
    <col min="13318" max="13318" width="12.28515625" customWidth="1"/>
    <col min="13319" max="13319" width="13.42578125" customWidth="1"/>
    <col min="13320" max="13320" width="14.5703125" customWidth="1"/>
    <col min="13321" max="13321" width="11.42578125" customWidth="1"/>
    <col min="13322" max="13322" width="14" customWidth="1"/>
    <col min="13323" max="13323" width="15.42578125" customWidth="1"/>
    <col min="13324" max="13324" width="11.42578125" customWidth="1"/>
    <col min="13325" max="13325" width="14.42578125" customWidth="1"/>
    <col min="13326" max="13326" width="11.42578125" customWidth="1"/>
    <col min="13327" max="13327" width="10.85546875" customWidth="1"/>
    <col min="13328" max="13328" width="14.140625" customWidth="1"/>
    <col min="13569" max="13569" width="57.42578125" customWidth="1"/>
    <col min="13570" max="13570" width="13.85546875" customWidth="1"/>
    <col min="13571" max="13571" width="12.42578125" customWidth="1"/>
    <col min="13572" max="13573" width="13.5703125" customWidth="1"/>
    <col min="13574" max="13574" width="12.28515625" customWidth="1"/>
    <col min="13575" max="13575" width="13.42578125" customWidth="1"/>
    <col min="13576" max="13576" width="14.5703125" customWidth="1"/>
    <col min="13577" max="13577" width="11.42578125" customWidth="1"/>
    <col min="13578" max="13578" width="14" customWidth="1"/>
    <col min="13579" max="13579" width="15.42578125" customWidth="1"/>
    <col min="13580" max="13580" width="11.42578125" customWidth="1"/>
    <col min="13581" max="13581" width="14.42578125" customWidth="1"/>
    <col min="13582" max="13582" width="11.42578125" customWidth="1"/>
    <col min="13583" max="13583" width="10.85546875" customWidth="1"/>
    <col min="13584" max="13584" width="14.140625" customWidth="1"/>
    <col min="13825" max="13825" width="57.42578125" customWidth="1"/>
    <col min="13826" max="13826" width="13.85546875" customWidth="1"/>
    <col min="13827" max="13827" width="12.42578125" customWidth="1"/>
    <col min="13828" max="13829" width="13.5703125" customWidth="1"/>
    <col min="13830" max="13830" width="12.28515625" customWidth="1"/>
    <col min="13831" max="13831" width="13.42578125" customWidth="1"/>
    <col min="13832" max="13832" width="14.5703125" customWidth="1"/>
    <col min="13833" max="13833" width="11.42578125" customWidth="1"/>
    <col min="13834" max="13834" width="14" customWidth="1"/>
    <col min="13835" max="13835" width="15.42578125" customWidth="1"/>
    <col min="13836" max="13836" width="11.42578125" customWidth="1"/>
    <col min="13837" max="13837" width="14.42578125" customWidth="1"/>
    <col min="13838" max="13838" width="11.42578125" customWidth="1"/>
    <col min="13839" max="13839" width="10.85546875" customWidth="1"/>
    <col min="13840" max="13840" width="14.140625" customWidth="1"/>
    <col min="14081" max="14081" width="57.42578125" customWidth="1"/>
    <col min="14082" max="14082" width="13.85546875" customWidth="1"/>
    <col min="14083" max="14083" width="12.42578125" customWidth="1"/>
    <col min="14084" max="14085" width="13.5703125" customWidth="1"/>
    <col min="14086" max="14086" width="12.28515625" customWidth="1"/>
    <col min="14087" max="14087" width="13.42578125" customWidth="1"/>
    <col min="14088" max="14088" width="14.5703125" customWidth="1"/>
    <col min="14089" max="14089" width="11.42578125" customWidth="1"/>
    <col min="14090" max="14090" width="14" customWidth="1"/>
    <col min="14091" max="14091" width="15.42578125" customWidth="1"/>
    <col min="14092" max="14092" width="11.42578125" customWidth="1"/>
    <col min="14093" max="14093" width="14.42578125" customWidth="1"/>
    <col min="14094" max="14094" width="11.42578125" customWidth="1"/>
    <col min="14095" max="14095" width="10.85546875" customWidth="1"/>
    <col min="14096" max="14096" width="14.140625" customWidth="1"/>
    <col min="14337" max="14337" width="57.42578125" customWidth="1"/>
    <col min="14338" max="14338" width="13.85546875" customWidth="1"/>
    <col min="14339" max="14339" width="12.42578125" customWidth="1"/>
    <col min="14340" max="14341" width="13.5703125" customWidth="1"/>
    <col min="14342" max="14342" width="12.28515625" customWidth="1"/>
    <col min="14343" max="14343" width="13.42578125" customWidth="1"/>
    <col min="14344" max="14344" width="14.5703125" customWidth="1"/>
    <col min="14345" max="14345" width="11.42578125" customWidth="1"/>
    <col min="14346" max="14346" width="14" customWidth="1"/>
    <col min="14347" max="14347" width="15.42578125" customWidth="1"/>
    <col min="14348" max="14348" width="11.42578125" customWidth="1"/>
    <col min="14349" max="14349" width="14.42578125" customWidth="1"/>
    <col min="14350" max="14350" width="11.42578125" customWidth="1"/>
    <col min="14351" max="14351" width="10.85546875" customWidth="1"/>
    <col min="14352" max="14352" width="14.140625" customWidth="1"/>
    <col min="14593" max="14593" width="57.42578125" customWidth="1"/>
    <col min="14594" max="14594" width="13.85546875" customWidth="1"/>
    <col min="14595" max="14595" width="12.42578125" customWidth="1"/>
    <col min="14596" max="14597" width="13.5703125" customWidth="1"/>
    <col min="14598" max="14598" width="12.28515625" customWidth="1"/>
    <col min="14599" max="14599" width="13.42578125" customWidth="1"/>
    <col min="14600" max="14600" width="14.5703125" customWidth="1"/>
    <col min="14601" max="14601" width="11.42578125" customWidth="1"/>
    <col min="14602" max="14602" width="14" customWidth="1"/>
    <col min="14603" max="14603" width="15.42578125" customWidth="1"/>
    <col min="14604" max="14604" width="11.42578125" customWidth="1"/>
    <col min="14605" max="14605" width="14.42578125" customWidth="1"/>
    <col min="14606" max="14606" width="11.42578125" customWidth="1"/>
    <col min="14607" max="14607" width="10.85546875" customWidth="1"/>
    <col min="14608" max="14608" width="14.140625" customWidth="1"/>
    <col min="14849" max="14849" width="57.42578125" customWidth="1"/>
    <col min="14850" max="14850" width="13.85546875" customWidth="1"/>
    <col min="14851" max="14851" width="12.42578125" customWidth="1"/>
    <col min="14852" max="14853" width="13.5703125" customWidth="1"/>
    <col min="14854" max="14854" width="12.28515625" customWidth="1"/>
    <col min="14855" max="14855" width="13.42578125" customWidth="1"/>
    <col min="14856" max="14856" width="14.5703125" customWidth="1"/>
    <col min="14857" max="14857" width="11.42578125" customWidth="1"/>
    <col min="14858" max="14858" width="14" customWidth="1"/>
    <col min="14859" max="14859" width="15.42578125" customWidth="1"/>
    <col min="14860" max="14860" width="11.42578125" customWidth="1"/>
    <col min="14861" max="14861" width="14.42578125" customWidth="1"/>
    <col min="14862" max="14862" width="11.42578125" customWidth="1"/>
    <col min="14863" max="14863" width="10.85546875" customWidth="1"/>
    <col min="14864" max="14864" width="14.140625" customWidth="1"/>
    <col min="15105" max="15105" width="57.42578125" customWidth="1"/>
    <col min="15106" max="15106" width="13.85546875" customWidth="1"/>
    <col min="15107" max="15107" width="12.42578125" customWidth="1"/>
    <col min="15108" max="15109" width="13.5703125" customWidth="1"/>
    <col min="15110" max="15110" width="12.28515625" customWidth="1"/>
    <col min="15111" max="15111" width="13.42578125" customWidth="1"/>
    <col min="15112" max="15112" width="14.5703125" customWidth="1"/>
    <col min="15113" max="15113" width="11.42578125" customWidth="1"/>
    <col min="15114" max="15114" width="14" customWidth="1"/>
    <col min="15115" max="15115" width="15.42578125" customWidth="1"/>
    <col min="15116" max="15116" width="11.42578125" customWidth="1"/>
    <col min="15117" max="15117" width="14.42578125" customWidth="1"/>
    <col min="15118" max="15118" width="11.42578125" customWidth="1"/>
    <col min="15119" max="15119" width="10.85546875" customWidth="1"/>
    <col min="15120" max="15120" width="14.140625" customWidth="1"/>
    <col min="15361" max="15361" width="57.42578125" customWidth="1"/>
    <col min="15362" max="15362" width="13.85546875" customWidth="1"/>
    <col min="15363" max="15363" width="12.42578125" customWidth="1"/>
    <col min="15364" max="15365" width="13.5703125" customWidth="1"/>
    <col min="15366" max="15366" width="12.28515625" customWidth="1"/>
    <col min="15367" max="15367" width="13.42578125" customWidth="1"/>
    <col min="15368" max="15368" width="14.5703125" customWidth="1"/>
    <col min="15369" max="15369" width="11.42578125" customWidth="1"/>
    <col min="15370" max="15370" width="14" customWidth="1"/>
    <col min="15371" max="15371" width="15.42578125" customWidth="1"/>
    <col min="15372" max="15372" width="11.42578125" customWidth="1"/>
    <col min="15373" max="15373" width="14.42578125" customWidth="1"/>
    <col min="15374" max="15374" width="11.42578125" customWidth="1"/>
    <col min="15375" max="15375" width="10.85546875" customWidth="1"/>
    <col min="15376" max="15376" width="14.140625" customWidth="1"/>
    <col min="15617" max="15617" width="57.42578125" customWidth="1"/>
    <col min="15618" max="15618" width="13.85546875" customWidth="1"/>
    <col min="15619" max="15619" width="12.42578125" customWidth="1"/>
    <col min="15620" max="15621" width="13.5703125" customWidth="1"/>
    <col min="15622" max="15622" width="12.28515625" customWidth="1"/>
    <col min="15623" max="15623" width="13.42578125" customWidth="1"/>
    <col min="15624" max="15624" width="14.5703125" customWidth="1"/>
    <col min="15625" max="15625" width="11.42578125" customWidth="1"/>
    <col min="15626" max="15626" width="14" customWidth="1"/>
    <col min="15627" max="15627" width="15.42578125" customWidth="1"/>
    <col min="15628" max="15628" width="11.42578125" customWidth="1"/>
    <col min="15629" max="15629" width="14.42578125" customWidth="1"/>
    <col min="15630" max="15630" width="11.42578125" customWidth="1"/>
    <col min="15631" max="15631" width="10.85546875" customWidth="1"/>
    <col min="15632" max="15632" width="14.140625" customWidth="1"/>
    <col min="15873" max="15873" width="57.42578125" customWidth="1"/>
    <col min="15874" max="15874" width="13.85546875" customWidth="1"/>
    <col min="15875" max="15875" width="12.42578125" customWidth="1"/>
    <col min="15876" max="15877" width="13.5703125" customWidth="1"/>
    <col min="15878" max="15878" width="12.28515625" customWidth="1"/>
    <col min="15879" max="15879" width="13.42578125" customWidth="1"/>
    <col min="15880" max="15880" width="14.5703125" customWidth="1"/>
    <col min="15881" max="15881" width="11.42578125" customWidth="1"/>
    <col min="15882" max="15882" width="14" customWidth="1"/>
    <col min="15883" max="15883" width="15.42578125" customWidth="1"/>
    <col min="15884" max="15884" width="11.42578125" customWidth="1"/>
    <col min="15885" max="15885" width="14.42578125" customWidth="1"/>
    <col min="15886" max="15886" width="11.42578125" customWidth="1"/>
    <col min="15887" max="15887" width="10.85546875" customWidth="1"/>
    <col min="15888" max="15888" width="14.140625" customWidth="1"/>
    <col min="16129" max="16129" width="57.42578125" customWidth="1"/>
    <col min="16130" max="16130" width="13.85546875" customWidth="1"/>
    <col min="16131" max="16131" width="12.42578125" customWidth="1"/>
    <col min="16132" max="16133" width="13.5703125" customWidth="1"/>
    <col min="16134" max="16134" width="12.28515625" customWidth="1"/>
    <col min="16135" max="16135" width="13.42578125" customWidth="1"/>
    <col min="16136" max="16136" width="14.5703125" customWidth="1"/>
    <col min="16137" max="16137" width="11.42578125" customWidth="1"/>
    <col min="16138" max="16138" width="14" customWidth="1"/>
    <col min="16139" max="16139" width="15.42578125" customWidth="1"/>
    <col min="16140" max="16140" width="11.42578125" customWidth="1"/>
    <col min="16141" max="16141" width="14.42578125" customWidth="1"/>
    <col min="16142" max="16142" width="11.42578125" customWidth="1"/>
    <col min="16143" max="16143" width="10.85546875" customWidth="1"/>
    <col min="16144" max="16144" width="14.140625" customWidth="1"/>
  </cols>
  <sheetData>
    <row r="1" spans="1:16" ht="15.75" x14ac:dyDescent="0.25">
      <c r="O1" s="1367" t="s">
        <v>511</v>
      </c>
      <c r="P1" s="1367"/>
    </row>
    <row r="2" spans="1:16" ht="38.25" customHeight="1" x14ac:dyDescent="0.4">
      <c r="A2" s="1376" t="s">
        <v>102</v>
      </c>
      <c r="B2" s="1376"/>
      <c r="C2" s="1376"/>
      <c r="D2" s="1376"/>
      <c r="E2" s="1376"/>
      <c r="F2" s="1376"/>
      <c r="G2" s="1376"/>
      <c r="H2" s="1376"/>
      <c r="I2" s="1376"/>
      <c r="J2" s="1376"/>
      <c r="K2" s="1377"/>
      <c r="L2" s="1377"/>
      <c r="M2" s="1377"/>
      <c r="N2" s="1377"/>
      <c r="O2" s="1377"/>
      <c r="P2" s="1377"/>
    </row>
    <row r="3" spans="1:16" ht="11.25" customHeight="1" thickBot="1" x14ac:dyDescent="0.45">
      <c r="A3" s="1266"/>
      <c r="B3" s="1266"/>
      <c r="C3" s="1266"/>
      <c r="D3" s="1266"/>
      <c r="E3" s="1266"/>
      <c r="F3" s="1266"/>
      <c r="G3" s="1266"/>
      <c r="H3" s="1266"/>
      <c r="I3" s="1266"/>
      <c r="J3" s="1266"/>
      <c r="K3" s="1267"/>
      <c r="L3" s="1267"/>
      <c r="M3" s="1267"/>
      <c r="N3" s="1267"/>
      <c r="O3" s="1267"/>
      <c r="P3" s="1267"/>
    </row>
    <row r="4" spans="1:16" ht="13.5" customHeight="1" thickBot="1" x14ac:dyDescent="0.25">
      <c r="A4" s="1378" t="s">
        <v>36</v>
      </c>
      <c r="B4" s="40" t="s">
        <v>11</v>
      </c>
      <c r="C4" s="1381" t="s">
        <v>98</v>
      </c>
      <c r="D4" s="1382"/>
      <c r="E4" s="1382"/>
      <c r="F4" s="1383"/>
      <c r="G4" s="1384" t="s">
        <v>100</v>
      </c>
      <c r="H4" s="1385"/>
      <c r="I4" s="1385"/>
      <c r="J4" s="1385"/>
      <c r="K4" s="1385"/>
      <c r="L4" s="1385"/>
      <c r="M4" s="1385"/>
      <c r="N4" s="1385"/>
      <c r="O4" s="1385"/>
      <c r="P4" s="1386" t="s">
        <v>105</v>
      </c>
    </row>
    <row r="5" spans="1:16" ht="12.75" customHeight="1" x14ac:dyDescent="0.2">
      <c r="A5" s="1379"/>
      <c r="B5" s="1389" t="s">
        <v>103</v>
      </c>
      <c r="C5" s="1391" t="s">
        <v>104</v>
      </c>
      <c r="D5" s="1393" t="s">
        <v>17</v>
      </c>
      <c r="E5" s="1395" t="s">
        <v>18</v>
      </c>
      <c r="F5" s="1397" t="s">
        <v>37</v>
      </c>
      <c r="G5" s="1399" t="s">
        <v>20</v>
      </c>
      <c r="H5" s="1374"/>
      <c r="I5" s="1400"/>
      <c r="J5" s="1399" t="s">
        <v>86</v>
      </c>
      <c r="K5" s="1374"/>
      <c r="L5" s="1401"/>
      <c r="M5" s="1374" t="s">
        <v>99</v>
      </c>
      <c r="N5" s="1374"/>
      <c r="O5" s="1375"/>
      <c r="P5" s="1387"/>
    </row>
    <row r="6" spans="1:16" ht="47.25" customHeight="1" thickBot="1" x14ac:dyDescent="0.25">
      <c r="A6" s="1380"/>
      <c r="B6" s="1390"/>
      <c r="C6" s="1392"/>
      <c r="D6" s="1394"/>
      <c r="E6" s="1396"/>
      <c r="F6" s="1398"/>
      <c r="G6" s="41" t="s">
        <v>22</v>
      </c>
      <c r="H6" s="42" t="s">
        <v>23</v>
      </c>
      <c r="I6" s="43" t="s">
        <v>38</v>
      </c>
      <c r="J6" s="44" t="s">
        <v>22</v>
      </c>
      <c r="K6" s="42" t="s">
        <v>23</v>
      </c>
      <c r="L6" s="43" t="s">
        <v>39</v>
      </c>
      <c r="M6" s="44" t="s">
        <v>22</v>
      </c>
      <c r="N6" s="42" t="s">
        <v>23</v>
      </c>
      <c r="O6" s="43" t="s">
        <v>39</v>
      </c>
      <c r="P6" s="1388"/>
    </row>
    <row r="7" spans="1:16" ht="30" customHeight="1" x14ac:dyDescent="0.25">
      <c r="A7" s="52" t="s">
        <v>40</v>
      </c>
      <c r="B7" s="58">
        <f>'PODLE ORJ'!M32</f>
        <v>130874</v>
      </c>
      <c r="C7" s="59">
        <f>'PODLE ORJ'!N32</f>
        <v>0</v>
      </c>
      <c r="D7" s="1080">
        <f>'PODLE ORJ'!O32</f>
        <v>52449</v>
      </c>
      <c r="E7" s="1085">
        <f>'PODLE ORJ'!P32</f>
        <v>78425</v>
      </c>
      <c r="F7" s="1086">
        <f>'PODLE ORJ'!Q32</f>
        <v>0</v>
      </c>
      <c r="G7" s="1087">
        <f>'PODLE ORJ'!R32</f>
        <v>213940</v>
      </c>
      <c r="H7" s="1088">
        <f>'PODLE ORJ'!S32</f>
        <v>235150</v>
      </c>
      <c r="I7" s="1086">
        <f>'PODLE ORJ'!T32</f>
        <v>0</v>
      </c>
      <c r="J7" s="1087">
        <f>'PODLE ORJ'!U32</f>
        <v>320112</v>
      </c>
      <c r="K7" s="1088">
        <f>'PODLE ORJ'!V32</f>
        <v>1630395</v>
      </c>
      <c r="L7" s="1086">
        <f>'PODLE ORJ'!W32</f>
        <v>0</v>
      </c>
      <c r="M7" s="1087">
        <f>'PODLE ORJ'!X32</f>
        <v>483204</v>
      </c>
      <c r="N7" s="1088">
        <f>'PODLE ORJ'!Y32</f>
        <v>1888156</v>
      </c>
      <c r="O7" s="1086">
        <f>'PODLE ORJ'!Z32</f>
        <v>0</v>
      </c>
      <c r="P7" s="66">
        <f>'PODLE ORJ'!AA32</f>
        <v>1466750</v>
      </c>
    </row>
    <row r="8" spans="1:16" ht="30" customHeight="1" x14ac:dyDescent="0.25">
      <c r="A8" s="54" t="s">
        <v>506</v>
      </c>
      <c r="B8" s="58">
        <f>'PODLE ORJ'!M35</f>
        <v>120000</v>
      </c>
      <c r="C8" s="59">
        <f>'PODLE ORJ'!N35</f>
        <v>120000</v>
      </c>
      <c r="D8" s="1319">
        <f>'PODLE ORJ'!O35</f>
        <v>0</v>
      </c>
      <c r="E8" s="1320">
        <f>'PODLE ORJ'!P35</f>
        <v>0</v>
      </c>
      <c r="F8" s="1320">
        <f>'PODLE ORJ'!Q35</f>
        <v>0</v>
      </c>
      <c r="G8" s="1321">
        <f>'PODLE ORJ'!R35</f>
        <v>0</v>
      </c>
      <c r="H8" s="1320">
        <f>'PODLE ORJ'!S35</f>
        <v>0</v>
      </c>
      <c r="I8" s="1320">
        <f>'PODLE ORJ'!T35</f>
        <v>0</v>
      </c>
      <c r="J8" s="1321">
        <f>'PODLE ORJ'!U35</f>
        <v>0</v>
      </c>
      <c r="K8" s="1320">
        <f>'PODLE ORJ'!V35</f>
        <v>0</v>
      </c>
      <c r="L8" s="1320">
        <f>'PODLE ORJ'!W35</f>
        <v>0</v>
      </c>
      <c r="M8" s="1321">
        <f>'PODLE ORJ'!X35</f>
        <v>0</v>
      </c>
      <c r="N8" s="1320">
        <f>'PODLE ORJ'!Y35</f>
        <v>0</v>
      </c>
      <c r="O8" s="1322">
        <f>'PODLE ORJ'!Z35</f>
        <v>0</v>
      </c>
      <c r="P8" s="1323">
        <f>'PODLE ORJ'!AA35</f>
        <v>0</v>
      </c>
    </row>
    <row r="9" spans="1:16" ht="30" customHeight="1" x14ac:dyDescent="0.25">
      <c r="A9" s="54" t="s">
        <v>89</v>
      </c>
      <c r="B9" s="58">
        <f>'PODLE ORJ'!M38</f>
        <v>0</v>
      </c>
      <c r="C9" s="59">
        <f>'PODLE ORJ'!N38</f>
        <v>0</v>
      </c>
      <c r="D9" s="1081">
        <f>'PODLE ORJ'!O38</f>
        <v>0</v>
      </c>
      <c r="E9" s="1082">
        <f>'PODLE ORJ'!P38</f>
        <v>0</v>
      </c>
      <c r="F9" s="1082">
        <f>'PODLE ORJ'!Q38</f>
        <v>0</v>
      </c>
      <c r="G9" s="1083">
        <f>'PODLE ORJ'!R38</f>
        <v>16000</v>
      </c>
      <c r="H9" s="1082">
        <f>'PODLE ORJ'!S38</f>
        <v>0</v>
      </c>
      <c r="I9" s="1082">
        <f>'PODLE ORJ'!T38</f>
        <v>0</v>
      </c>
      <c r="J9" s="1083">
        <f>'PODLE ORJ'!U38</f>
        <v>0</v>
      </c>
      <c r="K9" s="1082">
        <f>'PODLE ORJ'!V38</f>
        <v>0</v>
      </c>
      <c r="L9" s="1082">
        <f>'PODLE ORJ'!W38</f>
        <v>0</v>
      </c>
      <c r="M9" s="1083">
        <f>'PODLE ORJ'!X38</f>
        <v>0</v>
      </c>
      <c r="N9" s="1082">
        <f>'PODLE ORJ'!Y38</f>
        <v>0</v>
      </c>
      <c r="O9" s="1084">
        <f>'PODLE ORJ'!Z38</f>
        <v>0</v>
      </c>
      <c r="P9" s="67">
        <f>'PODLE ORJ'!AA38</f>
        <v>0</v>
      </c>
    </row>
    <row r="10" spans="1:16" ht="30" customHeight="1" x14ac:dyDescent="0.25">
      <c r="A10" s="53" t="s">
        <v>41</v>
      </c>
      <c r="B10" s="58">
        <f>'PODLE ORJ'!M43</f>
        <v>31635</v>
      </c>
      <c r="C10" s="59">
        <f>'PODLE ORJ'!N43</f>
        <v>9155</v>
      </c>
      <c r="D10" s="1081">
        <f>'PODLE ORJ'!O43</f>
        <v>17400</v>
      </c>
      <c r="E10" s="1082">
        <f>'PODLE ORJ'!P43</f>
        <v>650</v>
      </c>
      <c r="F10" s="1084">
        <f>'PODLE ORJ'!Q43</f>
        <v>4430</v>
      </c>
      <c r="G10" s="1083">
        <f>'PODLE ORJ'!R43</f>
        <v>0</v>
      </c>
      <c r="H10" s="1082">
        <f>'PODLE ORJ'!S43</f>
        <v>0</v>
      </c>
      <c r="I10" s="1084">
        <f>'PODLE ORJ'!T43</f>
        <v>0</v>
      </c>
      <c r="J10" s="1083">
        <f>'PODLE ORJ'!U43</f>
        <v>0</v>
      </c>
      <c r="K10" s="1082">
        <f>'PODLE ORJ'!V43</f>
        <v>0</v>
      </c>
      <c r="L10" s="1084">
        <f>'PODLE ORJ'!W43</f>
        <v>0</v>
      </c>
      <c r="M10" s="1083">
        <f>'PODLE ORJ'!X43</f>
        <v>0</v>
      </c>
      <c r="N10" s="1082">
        <f>'PODLE ORJ'!Y43</f>
        <v>0</v>
      </c>
      <c r="O10" s="1084">
        <f>'PODLE ORJ'!Z43</f>
        <v>0</v>
      </c>
      <c r="P10" s="67">
        <f>'PODLE ORJ'!AA43</f>
        <v>0</v>
      </c>
    </row>
    <row r="11" spans="1:16" ht="30" customHeight="1" x14ac:dyDescent="0.25">
      <c r="A11" s="53" t="s">
        <v>42</v>
      </c>
      <c r="B11" s="58">
        <f>'PODLE ORJ'!M46</f>
        <v>28450</v>
      </c>
      <c r="C11" s="59">
        <f>'PODLE ORJ'!N46</f>
        <v>0</v>
      </c>
      <c r="D11" s="1081">
        <f>'PODLE ORJ'!O46</f>
        <v>28450</v>
      </c>
      <c r="E11" s="1082">
        <f>'PODLE ORJ'!P46</f>
        <v>0</v>
      </c>
      <c r="F11" s="1084">
        <f>'PODLE ORJ'!Q46</f>
        <v>0</v>
      </c>
      <c r="G11" s="1083">
        <f>'PODLE ORJ'!R46</f>
        <v>7760</v>
      </c>
      <c r="H11" s="1082">
        <f>'PODLE ORJ'!S46</f>
        <v>0</v>
      </c>
      <c r="I11" s="1084">
        <f>'PODLE ORJ'!T46</f>
        <v>0</v>
      </c>
      <c r="J11" s="1083">
        <f>'PODLE ORJ'!U46</f>
        <v>5460</v>
      </c>
      <c r="K11" s="1082">
        <f>'PODLE ORJ'!V46</f>
        <v>0</v>
      </c>
      <c r="L11" s="1084">
        <f>'PODLE ORJ'!W46</f>
        <v>0</v>
      </c>
      <c r="M11" s="1083">
        <f>'PODLE ORJ'!X46</f>
        <v>5960</v>
      </c>
      <c r="N11" s="1082">
        <f>'PODLE ORJ'!Y46</f>
        <v>0</v>
      </c>
      <c r="O11" s="1084">
        <f>'PODLE ORJ'!Z46</f>
        <v>0</v>
      </c>
      <c r="P11" s="67">
        <f>'PODLE ORJ'!AA46</f>
        <v>0</v>
      </c>
    </row>
    <row r="12" spans="1:16" ht="30" customHeight="1" x14ac:dyDescent="0.25">
      <c r="A12" s="53" t="s">
        <v>273</v>
      </c>
      <c r="B12" s="58">
        <f>'PODLE ORJ'!M49</f>
        <v>250</v>
      </c>
      <c r="C12" s="59">
        <f>'PODLE ORJ'!N49</f>
        <v>0</v>
      </c>
      <c r="D12" s="1081">
        <f>'PODLE ORJ'!O49</f>
        <v>250</v>
      </c>
      <c r="E12" s="1082">
        <f>'PODLE ORJ'!P49</f>
        <v>0</v>
      </c>
      <c r="F12" s="1082">
        <f>'PODLE ORJ'!Q49</f>
        <v>0</v>
      </c>
      <c r="G12" s="1083">
        <f>'PODLE ORJ'!R49</f>
        <v>0</v>
      </c>
      <c r="H12" s="1082">
        <f>'PODLE ORJ'!S49</f>
        <v>0</v>
      </c>
      <c r="I12" s="1082">
        <f>'PODLE ORJ'!T49</f>
        <v>0</v>
      </c>
      <c r="J12" s="1083">
        <f>'PODLE ORJ'!U49</f>
        <v>0</v>
      </c>
      <c r="K12" s="1082">
        <f>'PODLE ORJ'!V49</f>
        <v>0</v>
      </c>
      <c r="L12" s="1082">
        <f>'PODLE ORJ'!W49</f>
        <v>0</v>
      </c>
      <c r="M12" s="1083">
        <f>'PODLE ORJ'!X49</f>
        <v>0</v>
      </c>
      <c r="N12" s="1082">
        <f>'PODLE ORJ'!Y49</f>
        <v>0</v>
      </c>
      <c r="O12" s="1084">
        <f>'PODLE ORJ'!Z49</f>
        <v>0</v>
      </c>
      <c r="P12" s="67">
        <f>'PODLE ORJ'!AA49</f>
        <v>0</v>
      </c>
    </row>
    <row r="13" spans="1:16" ht="30" customHeight="1" x14ac:dyDescent="0.25">
      <c r="A13" s="53" t="s">
        <v>49</v>
      </c>
      <c r="B13" s="58">
        <f>'PODLE ORJ'!M52</f>
        <v>5400</v>
      </c>
      <c r="C13" s="59">
        <f>'PODLE ORJ'!N52</f>
        <v>0</v>
      </c>
      <c r="D13" s="1081">
        <f>'PODLE ORJ'!O52</f>
        <v>5400</v>
      </c>
      <c r="E13" s="1082">
        <f>'PODLE ORJ'!P52</f>
        <v>0</v>
      </c>
      <c r="F13" s="1084">
        <f>'PODLE ORJ'!Q52</f>
        <v>0</v>
      </c>
      <c r="G13" s="1083">
        <f>'PODLE ORJ'!R52</f>
        <v>9800</v>
      </c>
      <c r="H13" s="1082">
        <f>'PODLE ORJ'!S52</f>
        <v>0</v>
      </c>
      <c r="I13" s="1084">
        <f>'PODLE ORJ'!T52</f>
        <v>0</v>
      </c>
      <c r="J13" s="1083">
        <f>'PODLE ORJ'!U52</f>
        <v>0</v>
      </c>
      <c r="K13" s="1082">
        <f>'PODLE ORJ'!V52</f>
        <v>0</v>
      </c>
      <c r="L13" s="1084">
        <f>'PODLE ORJ'!W52</f>
        <v>0</v>
      </c>
      <c r="M13" s="1083">
        <f>'PODLE ORJ'!X52</f>
        <v>0</v>
      </c>
      <c r="N13" s="1082">
        <f>'PODLE ORJ'!Y52</f>
        <v>0</v>
      </c>
      <c r="O13" s="1084">
        <f>'PODLE ORJ'!Z52</f>
        <v>0</v>
      </c>
      <c r="P13" s="67">
        <f>'PODLE ORJ'!AA52</f>
        <v>0</v>
      </c>
    </row>
    <row r="14" spans="1:16" ht="30" customHeight="1" x14ac:dyDescent="0.25">
      <c r="A14" s="53" t="s">
        <v>43</v>
      </c>
      <c r="B14" s="58">
        <f>'PODLE ORJ'!M56</f>
        <v>57209</v>
      </c>
      <c r="C14" s="59">
        <f>'PODLE ORJ'!N56</f>
        <v>2209</v>
      </c>
      <c r="D14" s="1081">
        <f>'PODLE ORJ'!O56</f>
        <v>55000</v>
      </c>
      <c r="E14" s="1082">
        <f>'PODLE ORJ'!P56</f>
        <v>0</v>
      </c>
      <c r="F14" s="1084">
        <f>'PODLE ORJ'!Q56</f>
        <v>0</v>
      </c>
      <c r="G14" s="1083">
        <f>'PODLE ORJ'!R56</f>
        <v>20000</v>
      </c>
      <c r="H14" s="1082">
        <f>'PODLE ORJ'!S56</f>
        <v>0</v>
      </c>
      <c r="I14" s="1084">
        <f>'PODLE ORJ'!T56</f>
        <v>0</v>
      </c>
      <c r="J14" s="1083">
        <f>'PODLE ORJ'!U56</f>
        <v>50000</v>
      </c>
      <c r="K14" s="1082">
        <f>'PODLE ORJ'!V56</f>
        <v>0</v>
      </c>
      <c r="L14" s="1084">
        <f>'PODLE ORJ'!W56</f>
        <v>0</v>
      </c>
      <c r="M14" s="1083">
        <f>'PODLE ORJ'!X56</f>
        <v>50000</v>
      </c>
      <c r="N14" s="1082">
        <f>'PODLE ORJ'!Y56</f>
        <v>0</v>
      </c>
      <c r="O14" s="1084">
        <f>'PODLE ORJ'!Z56</f>
        <v>0</v>
      </c>
      <c r="P14" s="67">
        <f>'PODLE ORJ'!AA56</f>
        <v>50000</v>
      </c>
    </row>
    <row r="15" spans="1:16" ht="30" customHeight="1" x14ac:dyDescent="0.25">
      <c r="A15" s="56" t="s">
        <v>92</v>
      </c>
      <c r="B15" s="58">
        <f>'PODLE ORJ'!M59</f>
        <v>12800</v>
      </c>
      <c r="C15" s="59">
        <f>'PODLE ORJ'!N59</f>
        <v>12500</v>
      </c>
      <c r="D15" s="1081">
        <f>'PODLE ORJ'!O59</f>
        <v>300</v>
      </c>
      <c r="E15" s="1082">
        <f>'PODLE ORJ'!P59</f>
        <v>0</v>
      </c>
      <c r="F15" s="1082">
        <f>'PODLE ORJ'!Q59</f>
        <v>0</v>
      </c>
      <c r="G15" s="1083">
        <f>'PODLE ORJ'!R59</f>
        <v>0</v>
      </c>
      <c r="H15" s="1082">
        <f>'PODLE ORJ'!S59</f>
        <v>0</v>
      </c>
      <c r="I15" s="1082">
        <f>'PODLE ORJ'!T59</f>
        <v>0</v>
      </c>
      <c r="J15" s="1083">
        <f>'PODLE ORJ'!U59</f>
        <v>0</v>
      </c>
      <c r="K15" s="1082">
        <f>'PODLE ORJ'!V59</f>
        <v>0</v>
      </c>
      <c r="L15" s="1082">
        <f>'PODLE ORJ'!W59</f>
        <v>0</v>
      </c>
      <c r="M15" s="1083">
        <f>'PODLE ORJ'!X59</f>
        <v>0</v>
      </c>
      <c r="N15" s="1082">
        <f>'PODLE ORJ'!Y59</f>
        <v>0</v>
      </c>
      <c r="O15" s="1084">
        <f>'PODLE ORJ'!Z59</f>
        <v>0</v>
      </c>
      <c r="P15" s="67">
        <f>'PODLE ORJ'!AA59</f>
        <v>0</v>
      </c>
    </row>
    <row r="16" spans="1:16" ht="30" customHeight="1" x14ac:dyDescent="0.25">
      <c r="A16" s="56" t="s">
        <v>44</v>
      </c>
      <c r="B16" s="58">
        <f>'PODLE ORJ'!M68</f>
        <v>302058</v>
      </c>
      <c r="C16" s="59">
        <f>'PODLE ORJ'!N68</f>
        <v>200000</v>
      </c>
      <c r="D16" s="1081">
        <f>'PODLE ORJ'!O68</f>
        <v>48358</v>
      </c>
      <c r="E16" s="1082">
        <f>'PODLE ORJ'!P68</f>
        <v>0</v>
      </c>
      <c r="F16" s="1084">
        <f>'PODLE ORJ'!Q68</f>
        <v>53700</v>
      </c>
      <c r="G16" s="1083">
        <f>'PODLE ORJ'!R68</f>
        <v>410000</v>
      </c>
      <c r="H16" s="1082">
        <f>'PODLE ORJ'!S68</f>
        <v>0</v>
      </c>
      <c r="I16" s="1084">
        <f>'PODLE ORJ'!T68</f>
        <v>0</v>
      </c>
      <c r="J16" s="1083">
        <f>'PODLE ORJ'!U68</f>
        <v>144000</v>
      </c>
      <c r="K16" s="1082">
        <f>'PODLE ORJ'!V68</f>
        <v>0</v>
      </c>
      <c r="L16" s="1084">
        <f>'PODLE ORJ'!W68</f>
        <v>0</v>
      </c>
      <c r="M16" s="1083">
        <f>'PODLE ORJ'!X68</f>
        <v>108000</v>
      </c>
      <c r="N16" s="1082">
        <f>'PODLE ORJ'!Y68</f>
        <v>0</v>
      </c>
      <c r="O16" s="1084">
        <f>'PODLE ORJ'!Z68</f>
        <v>0</v>
      </c>
      <c r="P16" s="67">
        <f>'PODLE ORJ'!AA68</f>
        <v>500000</v>
      </c>
    </row>
    <row r="17" spans="1:20" ht="30" customHeight="1" x14ac:dyDescent="0.25">
      <c r="A17" s="53" t="s">
        <v>50</v>
      </c>
      <c r="B17" s="58">
        <f>'PODLE ORJ'!M79</f>
        <v>292700</v>
      </c>
      <c r="C17" s="59">
        <f>'PODLE ORJ'!N79</f>
        <v>1967</v>
      </c>
      <c r="D17" s="1081">
        <f>'PODLE ORJ'!O79</f>
        <v>175556</v>
      </c>
      <c r="E17" s="1082">
        <f>'PODLE ORJ'!P79</f>
        <v>84000</v>
      </c>
      <c r="F17" s="1084">
        <f>'PODLE ORJ'!Q79</f>
        <v>31177</v>
      </c>
      <c r="G17" s="1083">
        <f>'PODLE ORJ'!R79</f>
        <v>146700</v>
      </c>
      <c r="H17" s="1082">
        <f>'PODLE ORJ'!S79</f>
        <v>4000</v>
      </c>
      <c r="I17" s="1084">
        <f>'PODLE ORJ'!T79</f>
        <v>0</v>
      </c>
      <c r="J17" s="1083">
        <f>'PODLE ORJ'!U79</f>
        <v>176700</v>
      </c>
      <c r="K17" s="1082">
        <f>'PODLE ORJ'!V79</f>
        <v>0</v>
      </c>
      <c r="L17" s="1084">
        <f>'PODLE ORJ'!W79</f>
        <v>0</v>
      </c>
      <c r="M17" s="1083">
        <f>'PODLE ORJ'!X79</f>
        <v>96000</v>
      </c>
      <c r="N17" s="1082">
        <f>'PODLE ORJ'!Y79</f>
        <v>0</v>
      </c>
      <c r="O17" s="1084">
        <f>'PODLE ORJ'!Z79</f>
        <v>0</v>
      </c>
      <c r="P17" s="67">
        <f>'PODLE ORJ'!AA79</f>
        <v>0</v>
      </c>
    </row>
    <row r="18" spans="1:20" ht="30" customHeight="1" x14ac:dyDescent="0.25">
      <c r="A18" s="54" t="s">
        <v>91</v>
      </c>
      <c r="B18" s="58">
        <f>'PODLE ORJ'!M82</f>
        <v>517875</v>
      </c>
      <c r="C18" s="59">
        <f>'PODLE ORJ'!N82</f>
        <v>467875</v>
      </c>
      <c r="D18" s="1081">
        <f>'PODLE ORJ'!O82</f>
        <v>50000</v>
      </c>
      <c r="E18" s="1082">
        <f>'PODLE ORJ'!P82</f>
        <v>0</v>
      </c>
      <c r="F18" s="1084">
        <f>'PODLE ORJ'!Q82</f>
        <v>0</v>
      </c>
      <c r="G18" s="1083">
        <f>'PODLE ORJ'!R82</f>
        <v>0</v>
      </c>
      <c r="H18" s="1082">
        <f>'PODLE ORJ'!S82</f>
        <v>0</v>
      </c>
      <c r="I18" s="1084">
        <f>'PODLE ORJ'!T82</f>
        <v>0</v>
      </c>
      <c r="J18" s="1083">
        <f>'PODLE ORJ'!U82</f>
        <v>0</v>
      </c>
      <c r="K18" s="1082">
        <f>'PODLE ORJ'!V82</f>
        <v>0</v>
      </c>
      <c r="L18" s="1084">
        <f>'PODLE ORJ'!W82</f>
        <v>0</v>
      </c>
      <c r="M18" s="1083">
        <f>'PODLE ORJ'!X82</f>
        <v>0</v>
      </c>
      <c r="N18" s="1082">
        <f>'PODLE ORJ'!Y82</f>
        <v>0</v>
      </c>
      <c r="O18" s="1084">
        <f>'PODLE ORJ'!Z82</f>
        <v>0</v>
      </c>
      <c r="P18" s="67">
        <f>'PODLE ORJ'!AA82</f>
        <v>0</v>
      </c>
    </row>
    <row r="19" spans="1:20" ht="30" customHeight="1" x14ac:dyDescent="0.25">
      <c r="A19" s="54" t="s">
        <v>85</v>
      </c>
      <c r="B19" s="58">
        <f>'PODLE ORJ'!M86</f>
        <v>49561</v>
      </c>
      <c r="C19" s="59">
        <f>'PODLE ORJ'!N86</f>
        <v>0</v>
      </c>
      <c r="D19" s="1081">
        <f>'PODLE ORJ'!O86</f>
        <v>49561</v>
      </c>
      <c r="E19" s="1082">
        <f>'PODLE ORJ'!P86</f>
        <v>0</v>
      </c>
      <c r="F19" s="1084">
        <f>'PODLE ORJ'!Q86</f>
        <v>0</v>
      </c>
      <c r="G19" s="1083">
        <f>'PODLE ORJ'!R86</f>
        <v>23903</v>
      </c>
      <c r="H19" s="1082">
        <f>'PODLE ORJ'!S86</f>
        <v>0</v>
      </c>
      <c r="I19" s="1084">
        <f>'PODLE ORJ'!T86</f>
        <v>0</v>
      </c>
      <c r="J19" s="1083">
        <f>'PODLE ORJ'!U86</f>
        <v>0</v>
      </c>
      <c r="K19" s="1082">
        <f>'PODLE ORJ'!V86</f>
        <v>0</v>
      </c>
      <c r="L19" s="1084">
        <f>'PODLE ORJ'!W86</f>
        <v>0</v>
      </c>
      <c r="M19" s="1083">
        <f>'PODLE ORJ'!X86</f>
        <v>0</v>
      </c>
      <c r="N19" s="1082">
        <f>'PODLE ORJ'!Y86</f>
        <v>0</v>
      </c>
      <c r="O19" s="1084">
        <f>'PODLE ORJ'!Z86</f>
        <v>0</v>
      </c>
      <c r="P19" s="67">
        <f>'PODLE ORJ'!AA86</f>
        <v>0</v>
      </c>
    </row>
    <row r="20" spans="1:20" ht="30" customHeight="1" x14ac:dyDescent="0.25">
      <c r="A20" s="54" t="s">
        <v>52</v>
      </c>
      <c r="B20" s="58">
        <f>'PODLE ORJ'!M93</f>
        <v>11392</v>
      </c>
      <c r="C20" s="59">
        <f>'PODLE ORJ'!N93</f>
        <v>392</v>
      </c>
      <c r="D20" s="1081">
        <f>'PODLE ORJ'!O93</f>
        <v>5000</v>
      </c>
      <c r="E20" s="1082">
        <f>'PODLE ORJ'!P93</f>
        <v>0</v>
      </c>
      <c r="F20" s="1084">
        <f>'PODLE ORJ'!Q93</f>
        <v>6000</v>
      </c>
      <c r="G20" s="1083">
        <f>'PODLE ORJ'!R93</f>
        <v>72500</v>
      </c>
      <c r="H20" s="1082">
        <f>'PODLE ORJ'!S93</f>
        <v>0</v>
      </c>
      <c r="I20" s="1084">
        <f>'PODLE ORJ'!T93</f>
        <v>20000</v>
      </c>
      <c r="J20" s="1083">
        <f>'PODLE ORJ'!U93</f>
        <v>41000</v>
      </c>
      <c r="K20" s="1082">
        <f>'PODLE ORJ'!V93</f>
        <v>0</v>
      </c>
      <c r="L20" s="1084">
        <f>'PODLE ORJ'!W93</f>
        <v>0</v>
      </c>
      <c r="M20" s="1089">
        <f>'PODLE ORJ'!X93</f>
        <v>20000</v>
      </c>
      <c r="N20" s="1082">
        <f>'PODLE ORJ'!Y93</f>
        <v>0</v>
      </c>
      <c r="O20" s="1084">
        <f>'PODLE ORJ'!Z93</f>
        <v>0</v>
      </c>
      <c r="P20" s="67">
        <f>'PODLE ORJ'!AA93</f>
        <v>0</v>
      </c>
    </row>
    <row r="21" spans="1:20" ht="30" customHeight="1" x14ac:dyDescent="0.25">
      <c r="A21" s="53" t="s">
        <v>45</v>
      </c>
      <c r="B21" s="58">
        <f>'PODLE ORJ'!M99</f>
        <v>9532</v>
      </c>
      <c r="C21" s="59">
        <f>'PODLE ORJ'!N99</f>
        <v>3032</v>
      </c>
      <c r="D21" s="1078">
        <f>'PODLE ORJ'!O99</f>
        <v>6500</v>
      </c>
      <c r="E21" s="1082">
        <f>'PODLE ORJ'!P99</f>
        <v>0</v>
      </c>
      <c r="F21" s="1084">
        <f>'PODLE ORJ'!Q99</f>
        <v>0</v>
      </c>
      <c r="G21" s="1083">
        <f>'PODLE ORJ'!R99</f>
        <v>4000</v>
      </c>
      <c r="H21" s="1082">
        <f>'PODLE ORJ'!S99</f>
        <v>0</v>
      </c>
      <c r="I21" s="1084">
        <f>'PODLE ORJ'!T99</f>
        <v>0</v>
      </c>
      <c r="J21" s="1083">
        <f>'PODLE ORJ'!U99</f>
        <v>4000</v>
      </c>
      <c r="K21" s="1082">
        <f>'PODLE ORJ'!V99</f>
        <v>0</v>
      </c>
      <c r="L21" s="1084">
        <f>'PODLE ORJ'!W99</f>
        <v>0</v>
      </c>
      <c r="M21" s="1089">
        <f>'PODLE ORJ'!X99</f>
        <v>4000</v>
      </c>
      <c r="N21" s="1082">
        <f>'PODLE ORJ'!Y99</f>
        <v>0</v>
      </c>
      <c r="O21" s="1084">
        <f>'PODLE ORJ'!Z99</f>
        <v>0</v>
      </c>
      <c r="P21" s="67">
        <f>'PODLE ORJ'!AA99</f>
        <v>0</v>
      </c>
    </row>
    <row r="22" spans="1:20" ht="30" customHeight="1" x14ac:dyDescent="0.25">
      <c r="A22" s="55" t="s">
        <v>46</v>
      </c>
      <c r="B22" s="58">
        <f>'PODLE ORJ'!M309</f>
        <v>1684366</v>
      </c>
      <c r="C22" s="59">
        <f>'PODLE ORJ'!N309</f>
        <v>712613</v>
      </c>
      <c r="D22" s="1078">
        <f>'PODLE ORJ'!O309</f>
        <v>802738</v>
      </c>
      <c r="E22" s="60">
        <f>'PODLE ORJ'!P309</f>
        <v>119996</v>
      </c>
      <c r="F22" s="61">
        <f>'PODLE ORJ'!Q309</f>
        <v>49019</v>
      </c>
      <c r="G22" s="62">
        <f>'PODLE ORJ'!R309</f>
        <v>2169847</v>
      </c>
      <c r="H22" s="60">
        <f>'PODLE ORJ'!S309</f>
        <v>63424</v>
      </c>
      <c r="I22" s="61">
        <f>'PODLE ORJ'!T309</f>
        <v>258454</v>
      </c>
      <c r="J22" s="62">
        <f>'PODLE ORJ'!U309</f>
        <v>2689683</v>
      </c>
      <c r="K22" s="60">
        <f>'PODLE ORJ'!V309</f>
        <v>174343</v>
      </c>
      <c r="L22" s="61">
        <f>'PODLE ORJ'!W309</f>
        <v>207380</v>
      </c>
      <c r="M22" s="62">
        <f>'PODLE ORJ'!X309</f>
        <v>2815475</v>
      </c>
      <c r="N22" s="60">
        <f>'PODLE ORJ'!Y309</f>
        <v>1682480</v>
      </c>
      <c r="O22" s="61">
        <f>'PODLE ORJ'!Z309</f>
        <v>119200</v>
      </c>
      <c r="P22" s="67">
        <f>'PODLE ORJ'!AA309</f>
        <v>3546818</v>
      </c>
    </row>
    <row r="23" spans="1:20" ht="30" customHeight="1" x14ac:dyDescent="0.25">
      <c r="A23" s="55" t="s">
        <v>51</v>
      </c>
      <c r="B23" s="58">
        <f>'PODLE ORJ'!M312</f>
        <v>0</v>
      </c>
      <c r="C23" s="59">
        <f>'PODLE ORJ'!N312</f>
        <v>0</v>
      </c>
      <c r="D23" s="1078">
        <f>'PODLE ORJ'!O312</f>
        <v>0</v>
      </c>
      <c r="E23" s="60">
        <f>'PODLE ORJ'!P312</f>
        <v>0</v>
      </c>
      <c r="F23" s="61">
        <f>'PODLE ORJ'!Q312</f>
        <v>0</v>
      </c>
      <c r="G23" s="62">
        <f>'PODLE ORJ'!R312</f>
        <v>1200</v>
      </c>
      <c r="H23" s="60">
        <f>'PODLE ORJ'!S312</f>
        <v>0</v>
      </c>
      <c r="I23" s="61">
        <f>'PODLE ORJ'!T312</f>
        <v>0</v>
      </c>
      <c r="J23" s="62">
        <f>'PODLE ORJ'!U312</f>
        <v>1200</v>
      </c>
      <c r="K23" s="60">
        <f>'PODLE ORJ'!V312</f>
        <v>0</v>
      </c>
      <c r="L23" s="61">
        <f>'PODLE ORJ'!W312</f>
        <v>0</v>
      </c>
      <c r="M23" s="62">
        <f>'PODLE ORJ'!X312</f>
        <v>1200</v>
      </c>
      <c r="N23" s="60">
        <f>'PODLE ORJ'!Y312</f>
        <v>0</v>
      </c>
      <c r="O23" s="61">
        <f>'PODLE ORJ'!Z312</f>
        <v>0</v>
      </c>
      <c r="P23" s="67">
        <f>'PODLE ORJ'!AA312</f>
        <v>0</v>
      </c>
    </row>
    <row r="24" spans="1:20" ht="30" customHeight="1" thickBot="1" x14ac:dyDescent="0.3">
      <c r="A24" s="57" t="s">
        <v>47</v>
      </c>
      <c r="B24" s="58">
        <f>'PODLE ORJ'!M316</f>
        <v>39760</v>
      </c>
      <c r="C24" s="59">
        <f>'PODLE ORJ'!N316</f>
        <v>0</v>
      </c>
      <c r="D24" s="1079">
        <f>'PODLE ORJ'!O316</f>
        <v>20517</v>
      </c>
      <c r="E24" s="60">
        <f>'PODLE ORJ'!P316</f>
        <v>12500</v>
      </c>
      <c r="F24" s="61">
        <f>'PODLE ORJ'!Q316</f>
        <v>6743</v>
      </c>
      <c r="G24" s="62">
        <f>'PODLE ORJ'!R316</f>
        <v>0</v>
      </c>
      <c r="H24" s="60">
        <f>'PODLE ORJ'!S316</f>
        <v>0</v>
      </c>
      <c r="I24" s="61">
        <f>'PODLE ORJ'!T316</f>
        <v>0</v>
      </c>
      <c r="J24" s="62">
        <f>'PODLE ORJ'!U316</f>
        <v>0</v>
      </c>
      <c r="K24" s="60">
        <f>'PODLE ORJ'!V316</f>
        <v>0</v>
      </c>
      <c r="L24" s="61">
        <f>'PODLE ORJ'!W316</f>
        <v>0</v>
      </c>
      <c r="M24" s="62">
        <f>'PODLE ORJ'!X316</f>
        <v>0</v>
      </c>
      <c r="N24" s="60">
        <f>'PODLE ORJ'!Y316</f>
        <v>0</v>
      </c>
      <c r="O24" s="61">
        <f>'PODLE ORJ'!Z316</f>
        <v>0</v>
      </c>
      <c r="P24" s="1075">
        <f>'PODLE ORJ'!AA316</f>
        <v>0</v>
      </c>
    </row>
    <row r="25" spans="1:20" ht="30" customHeight="1" thickBot="1" x14ac:dyDescent="0.25">
      <c r="A25" s="65" t="s">
        <v>48</v>
      </c>
      <c r="B25" s="63">
        <f>SUM(B7:B24)</f>
        <v>3293862</v>
      </c>
      <c r="C25" s="63">
        <f t="shared" ref="C25:P25" si="0">SUM(C7:C24)</f>
        <v>1529743</v>
      </c>
      <c r="D25" s="1077">
        <f>SUM(D7:D24)</f>
        <v>1317479</v>
      </c>
      <c r="E25" s="1077">
        <f t="shared" si="0"/>
        <v>295571</v>
      </c>
      <c r="F25" s="1077">
        <f t="shared" si="0"/>
        <v>151069</v>
      </c>
      <c r="G25" s="63">
        <f t="shared" si="0"/>
        <v>3095650</v>
      </c>
      <c r="H25" s="1077">
        <f t="shared" si="0"/>
        <v>302574</v>
      </c>
      <c r="I25" s="1077">
        <f t="shared" si="0"/>
        <v>278454</v>
      </c>
      <c r="J25" s="63">
        <f t="shared" si="0"/>
        <v>3432155</v>
      </c>
      <c r="K25" s="1077">
        <f t="shared" si="0"/>
        <v>1804738</v>
      </c>
      <c r="L25" s="1077">
        <f t="shared" si="0"/>
        <v>207380</v>
      </c>
      <c r="M25" s="63">
        <f t="shared" si="0"/>
        <v>3583839</v>
      </c>
      <c r="N25" s="1077">
        <f t="shared" si="0"/>
        <v>3570636</v>
      </c>
      <c r="O25" s="1076">
        <f t="shared" si="0"/>
        <v>119200</v>
      </c>
      <c r="P25" s="64">
        <f t="shared" si="0"/>
        <v>5563568</v>
      </c>
    </row>
    <row r="26" spans="1:20" ht="16.5" hidden="1" x14ac:dyDescent="0.25">
      <c r="A26" s="45"/>
      <c r="B26" s="46"/>
      <c r="C26" s="47"/>
      <c r="D26" s="48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20" ht="18" customHeight="1" x14ac:dyDescent="0.25">
      <c r="A27" s="45"/>
      <c r="B27" s="46"/>
      <c r="C27" s="50"/>
      <c r="D27" s="51"/>
      <c r="E27" s="49"/>
      <c r="F27" s="1260"/>
      <c r="G27" s="1260"/>
      <c r="H27" s="1261"/>
      <c r="I27" s="1261"/>
      <c r="J27" s="49"/>
      <c r="K27" s="49"/>
      <c r="L27" s="49"/>
      <c r="M27" s="49"/>
      <c r="N27" s="49"/>
      <c r="O27" s="49"/>
      <c r="P27" s="49"/>
    </row>
    <row r="28" spans="1:20" ht="18" customHeight="1" x14ac:dyDescent="0.25">
      <c r="A28" s="45"/>
      <c r="B28" s="46"/>
      <c r="C28" s="50"/>
      <c r="D28" s="51"/>
      <c r="E28" s="49"/>
      <c r="F28" s="1262">
        <v>26944</v>
      </c>
      <c r="G28" s="1263" t="s">
        <v>492</v>
      </c>
      <c r="H28" s="1260"/>
      <c r="I28" s="1261"/>
      <c r="J28" s="49"/>
      <c r="K28" s="49"/>
      <c r="L28" s="49"/>
      <c r="M28" s="49"/>
      <c r="N28" s="49"/>
      <c r="O28" s="49"/>
      <c r="P28" s="49"/>
    </row>
    <row r="29" spans="1:20" ht="18" customHeight="1" x14ac:dyDescent="0.25">
      <c r="A29" s="45"/>
      <c r="B29" s="46"/>
      <c r="C29" s="50"/>
      <c r="D29" s="51"/>
      <c r="E29" s="49"/>
      <c r="F29" s="1264">
        <v>13205</v>
      </c>
      <c r="G29" s="1263" t="s">
        <v>493</v>
      </c>
      <c r="H29" s="1260"/>
      <c r="I29" s="1261"/>
      <c r="J29" s="49"/>
      <c r="K29" s="49"/>
      <c r="L29" s="49"/>
      <c r="M29" s="49"/>
      <c r="N29" s="49"/>
      <c r="O29" s="49"/>
      <c r="P29" s="49"/>
    </row>
    <row r="30" spans="1:20" ht="18" customHeight="1" x14ac:dyDescent="0.25">
      <c r="A30" s="45"/>
      <c r="B30" s="46"/>
      <c r="C30" s="50"/>
      <c r="D30" s="51"/>
      <c r="E30" s="49"/>
      <c r="F30" s="1265">
        <v>110920</v>
      </c>
      <c r="G30" s="1263" t="s">
        <v>494</v>
      </c>
      <c r="H30" s="1260"/>
      <c r="I30" s="1261"/>
      <c r="J30" s="49"/>
      <c r="K30" s="49"/>
      <c r="L30" s="49"/>
      <c r="M30" s="49"/>
      <c r="N30" s="49"/>
      <c r="O30" s="49"/>
      <c r="P30" s="49"/>
    </row>
    <row r="31" spans="1:20" s="33" customFormat="1" ht="23.25" customHeight="1" thickBot="1" x14ac:dyDescent="0.4">
      <c r="A31" s="1268" t="s">
        <v>106</v>
      </c>
      <c r="B31" s="1269"/>
      <c r="C31" s="1270"/>
      <c r="D31" s="1271"/>
      <c r="E31" s="1272"/>
      <c r="F31" s="1272"/>
      <c r="G31" s="1272"/>
      <c r="H31" s="1272"/>
      <c r="I31" s="1272"/>
      <c r="J31" s="1272"/>
      <c r="K31" s="1272"/>
      <c r="L31" s="1407"/>
      <c r="M31" s="1407"/>
      <c r="N31" s="1408"/>
      <c r="O31" s="1408"/>
      <c r="P31" s="1366"/>
      <c r="Q31" s="1366"/>
      <c r="R31" s="1402"/>
      <c r="S31" s="1402"/>
      <c r="T31" s="1402"/>
    </row>
    <row r="32" spans="1:20" s="33" customFormat="1" ht="30" customHeight="1" x14ac:dyDescent="0.3">
      <c r="A32" s="1371" t="s">
        <v>55</v>
      </c>
      <c r="B32" s="1372"/>
      <c r="C32" s="1372"/>
      <c r="D32" s="1372"/>
      <c r="E32" s="1372"/>
      <c r="F32" s="1372"/>
      <c r="G32" s="1372"/>
      <c r="H32" s="1373"/>
      <c r="I32" s="1368">
        <v>958119</v>
      </c>
      <c r="J32" s="1369"/>
      <c r="K32" s="1370"/>
      <c r="L32" s="1403"/>
      <c r="M32" s="1404"/>
      <c r="N32" s="1405"/>
      <c r="O32" s="1405"/>
      <c r="P32" s="1405"/>
      <c r="Q32" s="1405"/>
      <c r="R32" s="1406"/>
      <c r="S32" s="1406"/>
      <c r="T32" s="1406"/>
    </row>
    <row r="33" spans="1:17" s="33" customFormat="1" ht="30" customHeight="1" x14ac:dyDescent="0.25">
      <c r="A33" s="1409" t="s">
        <v>515</v>
      </c>
      <c r="B33" s="1410"/>
      <c r="C33" s="1410"/>
      <c r="D33" s="1410"/>
      <c r="E33" s="1410"/>
      <c r="F33" s="1410"/>
      <c r="G33" s="1410"/>
      <c r="H33" s="1273"/>
      <c r="I33" s="1414">
        <v>64160</v>
      </c>
      <c r="J33" s="1415"/>
      <c r="K33" s="1416"/>
      <c r="L33" s="95"/>
      <c r="M33" s="95"/>
      <c r="N33" s="1365"/>
      <c r="O33" s="1366"/>
      <c r="P33" s="1366"/>
      <c r="Q33" s="68"/>
    </row>
    <row r="34" spans="1:17" s="33" customFormat="1" ht="30" customHeight="1" x14ac:dyDescent="0.25">
      <c r="A34" s="1417" t="s">
        <v>516</v>
      </c>
      <c r="B34" s="1418"/>
      <c r="C34" s="1418"/>
      <c r="D34" s="1418"/>
      <c r="E34" s="1418"/>
      <c r="F34" s="1418"/>
      <c r="G34" s="1418"/>
      <c r="H34" s="1419"/>
      <c r="I34" s="1411">
        <v>295200</v>
      </c>
      <c r="J34" s="1412"/>
      <c r="K34" s="1413"/>
      <c r="L34" s="95"/>
      <c r="M34" s="95"/>
      <c r="N34" s="1365"/>
      <c r="O34" s="1366"/>
      <c r="P34" s="1366"/>
      <c r="Q34" s="68"/>
    </row>
    <row r="35" spans="1:17" s="33" customFormat="1" ht="30" customHeight="1" x14ac:dyDescent="0.25">
      <c r="A35" s="1426" t="s">
        <v>495</v>
      </c>
      <c r="B35" s="1427"/>
      <c r="C35" s="1427"/>
      <c r="D35" s="1427"/>
      <c r="E35" s="1427"/>
      <c r="F35" s="1427"/>
      <c r="G35" s="1427"/>
      <c r="H35" s="1428"/>
      <c r="I35" s="1423">
        <v>1529743</v>
      </c>
      <c r="J35" s="1424"/>
      <c r="K35" s="1425"/>
      <c r="L35" s="94"/>
      <c r="M35" s="94"/>
      <c r="N35" s="93"/>
      <c r="O35" s="94"/>
      <c r="P35" s="94"/>
      <c r="Q35" s="68"/>
    </row>
    <row r="36" spans="1:17" s="33" customFormat="1" ht="30" customHeight="1" x14ac:dyDescent="0.25">
      <c r="A36" s="1362" t="s">
        <v>496</v>
      </c>
      <c r="B36" s="1363"/>
      <c r="C36" s="1363"/>
      <c r="D36" s="1363"/>
      <c r="E36" s="1363"/>
      <c r="F36" s="1363"/>
      <c r="G36" s="1363"/>
      <c r="H36" s="1364"/>
      <c r="I36" s="1423">
        <v>582613</v>
      </c>
      <c r="J36" s="1424"/>
      <c r="K36" s="1425"/>
      <c r="L36" s="94"/>
      <c r="M36" s="94"/>
      <c r="N36" s="93"/>
      <c r="O36" s="94"/>
      <c r="P36" s="94"/>
      <c r="Q36" s="68"/>
    </row>
    <row r="37" spans="1:17" s="33" customFormat="1" ht="30" customHeight="1" x14ac:dyDescent="0.25">
      <c r="A37" s="1362" t="s">
        <v>497</v>
      </c>
      <c r="B37" s="1363"/>
      <c r="C37" s="1363"/>
      <c r="D37" s="1363"/>
      <c r="E37" s="1363"/>
      <c r="F37" s="1363"/>
      <c r="G37" s="1363"/>
      <c r="H37" s="1364"/>
      <c r="I37" s="1420">
        <v>392</v>
      </c>
      <c r="J37" s="1421"/>
      <c r="K37" s="1422"/>
      <c r="L37" s="94"/>
      <c r="M37" s="94"/>
      <c r="N37" s="93"/>
      <c r="O37" s="94"/>
      <c r="P37" s="94"/>
      <c r="Q37" s="68"/>
    </row>
    <row r="38" spans="1:17" s="33" customFormat="1" ht="30" customHeight="1" x14ac:dyDescent="0.25">
      <c r="A38" s="1362" t="s">
        <v>498</v>
      </c>
      <c r="B38" s="1363"/>
      <c r="C38" s="1363"/>
      <c r="D38" s="1363"/>
      <c r="E38" s="1363"/>
      <c r="F38" s="1363"/>
      <c r="G38" s="1363"/>
      <c r="H38" s="1364"/>
      <c r="I38" s="1420">
        <v>1967</v>
      </c>
      <c r="J38" s="1421"/>
      <c r="K38" s="1422"/>
      <c r="L38" s="664"/>
      <c r="M38" s="664"/>
      <c r="N38" s="663"/>
      <c r="O38" s="664"/>
      <c r="P38" s="664"/>
      <c r="Q38" s="68"/>
    </row>
    <row r="39" spans="1:17" s="33" customFormat="1" ht="30" customHeight="1" x14ac:dyDescent="0.25">
      <c r="A39" s="1362" t="s">
        <v>499</v>
      </c>
      <c r="B39" s="1363"/>
      <c r="C39" s="1363"/>
      <c r="D39" s="1363"/>
      <c r="E39" s="1363"/>
      <c r="F39" s="1363"/>
      <c r="G39" s="1363"/>
      <c r="H39" s="1364"/>
      <c r="I39" s="1420">
        <v>9155</v>
      </c>
      <c r="J39" s="1421"/>
      <c r="K39" s="1422"/>
      <c r="L39" s="664"/>
      <c r="M39" s="664"/>
      <c r="N39" s="663"/>
      <c r="O39" s="664"/>
      <c r="P39" s="664"/>
      <c r="Q39" s="68"/>
    </row>
    <row r="40" spans="1:17" s="33" customFormat="1" ht="30" customHeight="1" x14ac:dyDescent="0.25">
      <c r="A40" s="1362" t="s">
        <v>500</v>
      </c>
      <c r="B40" s="1363"/>
      <c r="C40" s="1363"/>
      <c r="D40" s="1363"/>
      <c r="E40" s="1363"/>
      <c r="F40" s="1363"/>
      <c r="G40" s="1363"/>
      <c r="H40" s="1364"/>
      <c r="I40" s="1420">
        <v>2209</v>
      </c>
      <c r="J40" s="1421"/>
      <c r="K40" s="1422"/>
      <c r="L40" s="664"/>
      <c r="M40" s="664"/>
      <c r="N40" s="663"/>
      <c r="O40" s="664"/>
      <c r="P40" s="664"/>
      <c r="Q40" s="68"/>
    </row>
    <row r="41" spans="1:17" s="33" customFormat="1" ht="30" customHeight="1" x14ac:dyDescent="0.25">
      <c r="A41" s="1362" t="s">
        <v>510</v>
      </c>
      <c r="B41" s="1363"/>
      <c r="C41" s="1363"/>
      <c r="D41" s="1363"/>
      <c r="E41" s="1363"/>
      <c r="F41" s="1363"/>
      <c r="G41" s="1363"/>
      <c r="H41" s="1364"/>
      <c r="I41" s="1420">
        <v>120000</v>
      </c>
      <c r="J41" s="1421"/>
      <c r="K41" s="1422"/>
      <c r="L41" s="664"/>
      <c r="M41" s="664"/>
      <c r="N41" s="663"/>
      <c r="O41" s="664"/>
      <c r="P41" s="664"/>
      <c r="Q41" s="68"/>
    </row>
    <row r="42" spans="1:17" s="33" customFormat="1" ht="30" customHeight="1" x14ac:dyDescent="0.25">
      <c r="A42" s="1362" t="s">
        <v>501</v>
      </c>
      <c r="B42" s="1363"/>
      <c r="C42" s="1363"/>
      <c r="D42" s="1363"/>
      <c r="E42" s="1363"/>
      <c r="F42" s="1363"/>
      <c r="G42" s="1363"/>
      <c r="H42" s="1364"/>
      <c r="I42" s="1420">
        <v>12500</v>
      </c>
      <c r="J42" s="1421"/>
      <c r="K42" s="1422"/>
      <c r="L42" s="94"/>
      <c r="M42" s="94"/>
      <c r="N42" s="93"/>
      <c r="O42" s="94"/>
      <c r="P42" s="94"/>
      <c r="Q42" s="68"/>
    </row>
    <row r="43" spans="1:17" s="33" customFormat="1" ht="30" customHeight="1" x14ac:dyDescent="0.25">
      <c r="A43" s="1362" t="s">
        <v>502</v>
      </c>
      <c r="B43" s="1363"/>
      <c r="C43" s="1363"/>
      <c r="D43" s="1363"/>
      <c r="E43" s="1363"/>
      <c r="F43" s="1363"/>
      <c r="G43" s="1363"/>
      <c r="H43" s="1364"/>
      <c r="I43" s="1420">
        <v>3032</v>
      </c>
      <c r="J43" s="1421"/>
      <c r="K43" s="1422"/>
      <c r="L43" s="664"/>
      <c r="M43" s="664"/>
      <c r="N43" s="663"/>
      <c r="O43" s="664"/>
      <c r="P43" s="664"/>
      <c r="Q43" s="68"/>
    </row>
    <row r="44" spans="1:17" s="33" customFormat="1" ht="30" customHeight="1" x14ac:dyDescent="0.25">
      <c r="A44" s="1359" t="s">
        <v>503</v>
      </c>
      <c r="B44" s="1360"/>
      <c r="C44" s="1360"/>
      <c r="D44" s="1360"/>
      <c r="E44" s="1360"/>
      <c r="F44" s="1360"/>
      <c r="G44" s="1360"/>
      <c r="H44" s="1361"/>
      <c r="I44" s="1441">
        <v>200000</v>
      </c>
      <c r="J44" s="1442"/>
      <c r="K44" s="1443"/>
      <c r="L44" s="664"/>
      <c r="M44" s="664"/>
      <c r="N44" s="663"/>
      <c r="O44" s="664"/>
      <c r="P44" s="664"/>
      <c r="Q44" s="68"/>
    </row>
    <row r="45" spans="1:17" s="33" customFormat="1" ht="30" customHeight="1" x14ac:dyDescent="0.25">
      <c r="A45" s="1356" t="s">
        <v>504</v>
      </c>
      <c r="B45" s="1357"/>
      <c r="C45" s="1357"/>
      <c r="D45" s="1357"/>
      <c r="E45" s="1357"/>
      <c r="F45" s="1357"/>
      <c r="G45" s="1357"/>
      <c r="H45" s="1358"/>
      <c r="I45" s="1438">
        <v>467875</v>
      </c>
      <c r="J45" s="1439"/>
      <c r="K45" s="1440"/>
      <c r="L45" s="94"/>
      <c r="M45" s="94"/>
      <c r="N45" s="93"/>
      <c r="O45" s="94"/>
      <c r="P45" s="94"/>
      <c r="Q45" s="68"/>
    </row>
    <row r="46" spans="1:17" s="33" customFormat="1" ht="30" customHeight="1" x14ac:dyDescent="0.25">
      <c r="A46" s="1356" t="s">
        <v>505</v>
      </c>
      <c r="B46" s="1357"/>
      <c r="C46" s="1357"/>
      <c r="D46" s="1357"/>
      <c r="E46" s="1357"/>
      <c r="F46" s="1357"/>
      <c r="G46" s="1357"/>
      <c r="H46" s="1358"/>
      <c r="I46" s="1438">
        <v>130000</v>
      </c>
      <c r="J46" s="1439"/>
      <c r="K46" s="1440"/>
      <c r="L46" s="95"/>
      <c r="M46" s="95"/>
      <c r="N46" s="96"/>
      <c r="O46" s="95"/>
      <c r="P46" s="95"/>
      <c r="Q46" s="68"/>
    </row>
    <row r="47" spans="1:17" ht="30" customHeight="1" thickBot="1" x14ac:dyDescent="0.3">
      <c r="A47" s="1429" t="s">
        <v>56</v>
      </c>
      <c r="B47" s="1430"/>
      <c r="C47" s="1430"/>
      <c r="D47" s="1430"/>
      <c r="E47" s="1430"/>
      <c r="F47" s="1430"/>
      <c r="G47" s="1430"/>
      <c r="H47" s="1431"/>
      <c r="I47" s="1435">
        <f>I32+I33+I34+I35</f>
        <v>2847222</v>
      </c>
      <c r="J47" s="1436"/>
      <c r="K47" s="1437"/>
      <c r="L47" s="72"/>
      <c r="M47" s="71"/>
      <c r="N47" s="71"/>
      <c r="O47" s="27"/>
      <c r="P47" s="27"/>
    </row>
    <row r="48" spans="1:17" s="33" customFormat="1" ht="18.75" customHeight="1" thickBot="1" x14ac:dyDescent="0.3">
      <c r="A48" s="125"/>
      <c r="B48" s="125"/>
      <c r="C48" s="125"/>
      <c r="D48" s="542"/>
      <c r="E48" s="542"/>
      <c r="F48" s="542"/>
      <c r="G48" s="1274"/>
      <c r="H48" s="1274"/>
      <c r="I48" s="1275"/>
      <c r="J48" s="1274"/>
      <c r="K48" s="1276"/>
      <c r="L48" s="95"/>
      <c r="M48" s="95"/>
      <c r="N48" s="97"/>
      <c r="O48" s="98"/>
      <c r="P48" s="98"/>
      <c r="Q48" s="68"/>
    </row>
    <row r="49" spans="1:257" ht="30" customHeight="1" thickBot="1" x14ac:dyDescent="0.3">
      <c r="A49" s="1353" t="s">
        <v>57</v>
      </c>
      <c r="B49" s="1354"/>
      <c r="C49" s="1354"/>
      <c r="D49" s="1354"/>
      <c r="E49" s="1354"/>
      <c r="F49" s="1354"/>
      <c r="G49" s="1354"/>
      <c r="H49" s="1355"/>
      <c r="I49" s="1432">
        <f>D25</f>
        <v>1317479</v>
      </c>
      <c r="J49" s="1433"/>
      <c r="K49" s="1434"/>
      <c r="L49" s="70"/>
      <c r="M49" s="70"/>
      <c r="N49" s="69"/>
      <c r="O49" s="70"/>
      <c r="P49" s="70"/>
      <c r="Q49" s="68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33"/>
      <c r="BO49" s="33"/>
      <c r="BP49" s="33"/>
      <c r="BQ49" s="33"/>
      <c r="BR49" s="33"/>
      <c r="BS49" s="33"/>
      <c r="BT49" s="33"/>
      <c r="BU49" s="33"/>
      <c r="BV49" s="33"/>
      <c r="BW49" s="33"/>
      <c r="BX49" s="33"/>
      <c r="BY49" s="33"/>
      <c r="BZ49" s="33"/>
      <c r="CA49" s="33"/>
      <c r="CB49" s="33"/>
      <c r="CC49" s="33"/>
      <c r="CD49" s="33"/>
      <c r="CE49" s="33"/>
      <c r="CF49" s="33"/>
      <c r="CG49" s="33"/>
      <c r="CH49" s="33"/>
      <c r="CI49" s="33"/>
      <c r="CJ49" s="33"/>
      <c r="CK49" s="33"/>
      <c r="CL49" s="33"/>
      <c r="CM49" s="33"/>
      <c r="CN49" s="33"/>
      <c r="CO49" s="33"/>
      <c r="CP49" s="33"/>
      <c r="CQ49" s="33"/>
      <c r="CR49" s="33"/>
      <c r="CS49" s="33"/>
      <c r="CT49" s="33"/>
      <c r="CU49" s="33"/>
      <c r="CV49" s="33"/>
      <c r="CW49" s="33"/>
      <c r="CX49" s="33"/>
      <c r="CY49" s="33"/>
      <c r="CZ49" s="33"/>
      <c r="DA49" s="33"/>
      <c r="DB49" s="33"/>
      <c r="DC49" s="33"/>
      <c r="DD49" s="33"/>
      <c r="DE49" s="33"/>
      <c r="DF49" s="33"/>
      <c r="DG49" s="33"/>
      <c r="DH49" s="33"/>
      <c r="DI49" s="33"/>
      <c r="DJ49" s="33"/>
      <c r="DK49" s="33"/>
      <c r="DL49" s="33"/>
      <c r="DM49" s="33"/>
      <c r="DN49" s="33"/>
      <c r="DO49" s="33"/>
      <c r="DP49" s="33"/>
      <c r="DQ49" s="33"/>
      <c r="DR49" s="33"/>
      <c r="DS49" s="33"/>
      <c r="DT49" s="33"/>
      <c r="DU49" s="33"/>
      <c r="DV49" s="33"/>
      <c r="DW49" s="33"/>
      <c r="DX49" s="33"/>
      <c r="DY49" s="33"/>
      <c r="DZ49" s="33"/>
      <c r="EA49" s="33"/>
      <c r="EB49" s="33"/>
      <c r="EC49" s="33"/>
      <c r="ED49" s="33"/>
      <c r="EE49" s="33"/>
      <c r="EF49" s="33"/>
      <c r="EG49" s="33"/>
      <c r="EH49" s="33"/>
      <c r="EI49" s="33"/>
      <c r="EJ49" s="33"/>
      <c r="EK49" s="33"/>
      <c r="EL49" s="33"/>
      <c r="EM49" s="33"/>
      <c r="EN49" s="33"/>
      <c r="EO49" s="33"/>
      <c r="EP49" s="33"/>
      <c r="EQ49" s="33"/>
      <c r="ER49" s="33"/>
      <c r="ES49" s="33"/>
      <c r="ET49" s="33"/>
      <c r="EU49" s="33"/>
      <c r="EV49" s="33"/>
      <c r="EW49" s="33"/>
      <c r="EX49" s="33"/>
      <c r="EY49" s="33"/>
      <c r="EZ49" s="33"/>
      <c r="FA49" s="33"/>
      <c r="FB49" s="33"/>
      <c r="FC49" s="33"/>
      <c r="FD49" s="33"/>
      <c r="FE49" s="33"/>
      <c r="FF49" s="33"/>
      <c r="FG49" s="33"/>
      <c r="FH49" s="33"/>
      <c r="FI49" s="33"/>
      <c r="FJ49" s="33"/>
      <c r="FK49" s="33"/>
      <c r="FL49" s="33"/>
      <c r="FM49" s="33"/>
      <c r="FN49" s="33"/>
      <c r="FO49" s="33"/>
      <c r="FP49" s="33"/>
      <c r="FQ49" s="33"/>
      <c r="FR49" s="33"/>
      <c r="FS49" s="33"/>
      <c r="FT49" s="33"/>
      <c r="FU49" s="33"/>
      <c r="FV49" s="33"/>
      <c r="FW49" s="33"/>
      <c r="FX49" s="33"/>
      <c r="FY49" s="33"/>
      <c r="FZ49" s="33"/>
      <c r="GA49" s="33"/>
      <c r="GB49" s="33"/>
      <c r="GC49" s="33"/>
      <c r="GD49" s="33"/>
      <c r="GE49" s="33"/>
      <c r="GF49" s="33"/>
      <c r="GG49" s="33"/>
      <c r="GH49" s="33"/>
      <c r="GI49" s="33"/>
      <c r="GJ49" s="33"/>
      <c r="GK49" s="33"/>
      <c r="GL49" s="33"/>
      <c r="GM49" s="33"/>
      <c r="GN49" s="33"/>
      <c r="GO49" s="33"/>
      <c r="GP49" s="33"/>
      <c r="GQ49" s="33"/>
      <c r="GR49" s="33"/>
      <c r="GS49" s="33"/>
      <c r="GT49" s="33"/>
      <c r="GU49" s="33"/>
      <c r="GV49" s="33"/>
      <c r="GW49" s="33"/>
      <c r="GX49" s="33"/>
      <c r="GY49" s="33"/>
      <c r="GZ49" s="33"/>
      <c r="HA49" s="33"/>
      <c r="HB49" s="33"/>
      <c r="HC49" s="33"/>
      <c r="HD49" s="33"/>
      <c r="HE49" s="33"/>
      <c r="HF49" s="33"/>
      <c r="HG49" s="33"/>
      <c r="HH49" s="33"/>
      <c r="HI49" s="33"/>
      <c r="HJ49" s="33"/>
      <c r="HK49" s="33"/>
      <c r="HL49" s="33"/>
      <c r="HM49" s="33"/>
      <c r="HN49" s="33"/>
      <c r="HO49" s="33"/>
      <c r="HP49" s="33"/>
      <c r="HQ49" s="33"/>
      <c r="HR49" s="33"/>
      <c r="HS49" s="33"/>
      <c r="HT49" s="33"/>
      <c r="HU49" s="33"/>
      <c r="HV49" s="33"/>
      <c r="HW49" s="33"/>
      <c r="HX49" s="33"/>
      <c r="HY49" s="33"/>
      <c r="HZ49" s="33"/>
      <c r="IA49" s="33"/>
      <c r="IB49" s="33"/>
      <c r="IC49" s="33"/>
      <c r="ID49" s="33"/>
      <c r="IE49" s="33"/>
      <c r="IF49" s="33"/>
      <c r="IG49" s="33"/>
      <c r="IH49" s="33"/>
      <c r="II49" s="33"/>
      <c r="IJ49" s="33"/>
      <c r="IK49" s="33"/>
      <c r="IL49" s="33"/>
      <c r="IM49" s="33"/>
      <c r="IN49" s="33"/>
      <c r="IO49" s="33"/>
      <c r="IP49" s="33"/>
      <c r="IQ49" s="33"/>
      <c r="IR49" s="33"/>
      <c r="IS49" s="33"/>
      <c r="IT49" s="33"/>
      <c r="IU49" s="33"/>
      <c r="IV49" s="33"/>
      <c r="IW49" s="33"/>
    </row>
  </sheetData>
  <mergeCells count="58">
    <mergeCell ref="I49:K49"/>
    <mergeCell ref="I47:K47"/>
    <mergeCell ref="I46:K46"/>
    <mergeCell ref="I45:K45"/>
    <mergeCell ref="I44:K44"/>
    <mergeCell ref="I43:K43"/>
    <mergeCell ref="I41:K41"/>
    <mergeCell ref="I42:K42"/>
    <mergeCell ref="A41:H41"/>
    <mergeCell ref="A47:H47"/>
    <mergeCell ref="A42:H42"/>
    <mergeCell ref="A33:G33"/>
    <mergeCell ref="I34:K34"/>
    <mergeCell ref="I33:K33"/>
    <mergeCell ref="A34:H34"/>
    <mergeCell ref="A40:H40"/>
    <mergeCell ref="A39:H39"/>
    <mergeCell ref="A38:H38"/>
    <mergeCell ref="I38:K38"/>
    <mergeCell ref="I35:K35"/>
    <mergeCell ref="I37:K37"/>
    <mergeCell ref="I36:K36"/>
    <mergeCell ref="A37:H37"/>
    <mergeCell ref="A36:H36"/>
    <mergeCell ref="A35:H35"/>
    <mergeCell ref="I40:K40"/>
    <mergeCell ref="I39:K39"/>
    <mergeCell ref="G5:I5"/>
    <mergeCell ref="J5:L5"/>
    <mergeCell ref="R31:T31"/>
    <mergeCell ref="L32:M32"/>
    <mergeCell ref="N32:O32"/>
    <mergeCell ref="P32:Q32"/>
    <mergeCell ref="R32:T32"/>
    <mergeCell ref="L31:M31"/>
    <mergeCell ref="N31:O31"/>
    <mergeCell ref="P31:Q31"/>
    <mergeCell ref="N33:P33"/>
    <mergeCell ref="N34:P34"/>
    <mergeCell ref="O1:P1"/>
    <mergeCell ref="I32:K32"/>
    <mergeCell ref="A32:H32"/>
    <mergeCell ref="M5:O5"/>
    <mergeCell ref="A2:P2"/>
    <mergeCell ref="A4:A6"/>
    <mergeCell ref="C4:F4"/>
    <mergeCell ref="G4:O4"/>
    <mergeCell ref="P4:P6"/>
    <mergeCell ref="B5:B6"/>
    <mergeCell ref="C5:C6"/>
    <mergeCell ref="D5:D6"/>
    <mergeCell ref="E5:E6"/>
    <mergeCell ref="F5:F6"/>
    <mergeCell ref="A49:H49"/>
    <mergeCell ref="A46:H46"/>
    <mergeCell ref="A45:H45"/>
    <mergeCell ref="A44:H44"/>
    <mergeCell ref="A43:H43"/>
  </mergeCells>
  <pageMargins left="0.70866141732283472" right="0.70866141732283472" top="0.35433070866141736" bottom="0" header="0.31496062992125984" footer="0.31496062992125984"/>
  <pageSetup paperSize="9" scale="4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R316"/>
  <sheetViews>
    <sheetView tabSelected="1" view="pageBreakPreview" topLeftCell="D16" zoomScale="80" zoomScaleNormal="85" zoomScaleSheetLayoutView="80" workbookViewId="0">
      <selection activeCell="E82" sqref="E82:L82"/>
    </sheetView>
  </sheetViews>
  <sheetFormatPr defaultColWidth="9.140625" defaultRowHeight="12.75" x14ac:dyDescent="0.2"/>
  <cols>
    <col min="1" max="1" width="10.42578125" hidden="1" customWidth="1"/>
    <col min="2" max="2" width="13.7109375" hidden="1" customWidth="1"/>
    <col min="3" max="3" width="6.5703125" hidden="1" customWidth="1"/>
    <col min="4" max="4" width="6.42578125" customWidth="1"/>
    <col min="5" max="5" width="56.28515625" style="1226" customWidth="1"/>
    <col min="6" max="9" width="5.140625" customWidth="1"/>
    <col min="10" max="10" width="13.140625" customWidth="1"/>
    <col min="12" max="12" width="9.85546875" customWidth="1"/>
    <col min="13" max="13" width="12.5703125" customWidth="1"/>
    <col min="14" max="15" width="13.140625" customWidth="1"/>
    <col min="16" max="16" width="10.7109375" customWidth="1"/>
    <col min="17" max="17" width="12.7109375" customWidth="1"/>
    <col min="18" max="18" width="14.140625" customWidth="1"/>
    <col min="19" max="19" width="13.28515625" customWidth="1"/>
    <col min="20" max="20" width="11.140625" customWidth="1"/>
    <col min="21" max="21" width="14.42578125" customWidth="1"/>
    <col min="22" max="22" width="14.28515625" customWidth="1"/>
    <col min="23" max="23" width="10.85546875" customWidth="1"/>
    <col min="24" max="24" width="13.7109375" customWidth="1"/>
    <col min="25" max="25" width="14.28515625" customWidth="1"/>
    <col min="26" max="26" width="10.85546875" bestFit="1" customWidth="1"/>
    <col min="27" max="27" width="12.28515625" customWidth="1"/>
    <col min="28" max="121" width="9.140625" style="1179"/>
  </cols>
  <sheetData>
    <row r="1" spans="1:121" ht="57.75" customHeight="1" x14ac:dyDescent="0.4">
      <c r="B1" s="1"/>
      <c r="C1" s="2"/>
      <c r="D1" s="2"/>
      <c r="E1" s="1444" t="s">
        <v>93</v>
      </c>
      <c r="F1" s="1444"/>
      <c r="G1" s="1444"/>
      <c r="H1" s="1444"/>
      <c r="I1" s="1444"/>
      <c r="J1" s="1444"/>
      <c r="K1" s="1444"/>
      <c r="L1" s="1444"/>
      <c r="M1" s="1444"/>
      <c r="N1" s="1444"/>
      <c r="O1" s="1444"/>
      <c r="P1" s="1444"/>
      <c r="Q1" s="1444"/>
      <c r="R1" s="1444"/>
      <c r="S1" s="1444"/>
      <c r="T1" s="1444"/>
      <c r="U1" s="1444"/>
      <c r="V1" s="1444"/>
      <c r="W1" s="1444"/>
      <c r="X1" s="1444"/>
      <c r="Y1" s="1444"/>
      <c r="Z1" s="1444"/>
      <c r="AA1" s="1444"/>
    </row>
    <row r="2" spans="1:121" ht="21.75" customHeight="1" x14ac:dyDescent="0.4">
      <c r="B2" s="1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  <c r="R2" s="3"/>
      <c r="S2" s="4"/>
      <c r="T2" s="4"/>
      <c r="U2" s="4"/>
      <c r="V2" s="4"/>
      <c r="W2" s="4"/>
      <c r="X2" s="4"/>
      <c r="Y2" s="4"/>
      <c r="Z2" s="4"/>
      <c r="AA2" s="4"/>
    </row>
    <row r="3" spans="1:121" s="5" customFormat="1" ht="18" customHeight="1" x14ac:dyDescent="0.25">
      <c r="B3" s="6"/>
      <c r="C3" s="7"/>
      <c r="D3" s="8"/>
      <c r="E3" s="1214" t="s">
        <v>0</v>
      </c>
      <c r="F3" s="9"/>
      <c r="G3" s="10"/>
      <c r="H3" s="9"/>
      <c r="I3" s="11" t="s">
        <v>1</v>
      </c>
      <c r="J3" s="12"/>
      <c r="K3" s="13"/>
      <c r="L3" s="9"/>
      <c r="M3" s="14"/>
      <c r="N3" s="13"/>
      <c r="O3" s="13"/>
      <c r="P3" s="9"/>
      <c r="Q3" s="15"/>
      <c r="R3" s="16"/>
      <c r="S3" s="17"/>
      <c r="T3" s="17"/>
      <c r="U3" s="17"/>
      <c r="V3" s="17"/>
      <c r="W3" s="17"/>
      <c r="X3" s="17"/>
      <c r="Y3" s="17"/>
      <c r="Z3" s="17"/>
      <c r="AA3" s="18"/>
      <c r="AB3" s="1179"/>
      <c r="AC3" s="1179"/>
      <c r="AD3" s="1179"/>
      <c r="AE3" s="1179"/>
      <c r="AF3" s="1179"/>
      <c r="AG3" s="1179"/>
      <c r="AH3" s="1179"/>
      <c r="AI3" s="1179"/>
      <c r="AJ3" s="1179"/>
      <c r="AK3" s="1179"/>
      <c r="AL3" s="1179"/>
      <c r="AM3" s="1179"/>
      <c r="AN3" s="1179"/>
      <c r="AO3" s="1179"/>
      <c r="AP3" s="1179"/>
      <c r="AQ3" s="1179"/>
      <c r="AR3" s="1180"/>
      <c r="AS3" s="1180"/>
      <c r="AT3" s="1180"/>
      <c r="AU3" s="1180"/>
      <c r="AV3" s="1180"/>
      <c r="AW3" s="1180"/>
      <c r="AX3" s="1180"/>
      <c r="AY3" s="1180"/>
      <c r="AZ3" s="1180"/>
      <c r="BA3" s="1180"/>
      <c r="BB3" s="1180"/>
      <c r="BC3" s="1180"/>
      <c r="BD3" s="1180"/>
      <c r="BE3" s="1180"/>
      <c r="BF3" s="1180"/>
      <c r="BG3" s="1180"/>
      <c r="BH3" s="1180"/>
      <c r="BI3" s="1180"/>
      <c r="BJ3" s="1180"/>
      <c r="BK3" s="1180"/>
      <c r="BL3" s="1180"/>
      <c r="BM3" s="1180"/>
      <c r="BN3" s="1180"/>
      <c r="BO3" s="1180"/>
      <c r="BP3" s="1180"/>
      <c r="BQ3" s="1180"/>
      <c r="BR3" s="1180"/>
      <c r="BS3" s="1180"/>
      <c r="BT3" s="1180"/>
      <c r="BU3" s="1180"/>
      <c r="BV3" s="1180"/>
      <c r="BW3" s="1180"/>
      <c r="BX3" s="1180"/>
      <c r="BY3" s="1180"/>
      <c r="BZ3" s="1180"/>
      <c r="CA3" s="1180"/>
      <c r="CB3" s="1180"/>
      <c r="CC3" s="1180"/>
      <c r="CD3" s="1180"/>
      <c r="CE3" s="1180"/>
      <c r="CF3" s="1180"/>
      <c r="CG3" s="1180"/>
      <c r="CH3" s="1180"/>
      <c r="CI3" s="1180"/>
      <c r="CJ3" s="1180"/>
      <c r="CK3" s="1180"/>
      <c r="CL3" s="1180"/>
      <c r="CM3" s="1180"/>
      <c r="CN3" s="1180"/>
      <c r="CO3" s="1180"/>
      <c r="CP3" s="1180"/>
      <c r="CQ3" s="1180"/>
      <c r="CR3" s="1180"/>
      <c r="CS3" s="1180"/>
      <c r="CT3" s="1180"/>
      <c r="CU3" s="1180"/>
      <c r="CV3" s="1180"/>
      <c r="CW3" s="1180"/>
      <c r="CX3" s="1180"/>
      <c r="CY3" s="1180"/>
      <c r="CZ3" s="1180"/>
      <c r="DA3" s="1180"/>
      <c r="DB3" s="1180"/>
      <c r="DC3" s="1180"/>
      <c r="DD3" s="1180"/>
      <c r="DE3" s="1180"/>
      <c r="DF3" s="1180"/>
      <c r="DG3" s="1180"/>
      <c r="DH3" s="1180"/>
      <c r="DI3" s="1180"/>
      <c r="DJ3" s="1180"/>
      <c r="DK3" s="1180"/>
      <c r="DL3" s="1180"/>
      <c r="DM3" s="1180"/>
      <c r="DN3" s="1180"/>
      <c r="DO3" s="1180"/>
      <c r="DP3" s="1180"/>
      <c r="DQ3" s="1180"/>
    </row>
    <row r="4" spans="1:121" s="5" customFormat="1" ht="18.75" customHeight="1" x14ac:dyDescent="0.25">
      <c r="B4" s="6"/>
      <c r="C4" s="7"/>
      <c r="D4" s="8"/>
      <c r="E4" s="1215"/>
      <c r="F4" s="9"/>
      <c r="G4" s="1294"/>
      <c r="H4" s="9"/>
      <c r="I4" s="11" t="s">
        <v>2</v>
      </c>
      <c r="J4" s="12"/>
      <c r="K4" s="13"/>
      <c r="L4" s="9"/>
      <c r="M4" s="14"/>
      <c r="N4" s="13"/>
      <c r="O4" s="13"/>
      <c r="P4" s="9"/>
      <c r="Q4" s="17"/>
      <c r="R4" s="16"/>
      <c r="S4" s="17"/>
      <c r="T4" s="17"/>
      <c r="U4" s="17"/>
      <c r="V4" s="17"/>
      <c r="W4" s="17"/>
      <c r="X4" s="17"/>
      <c r="Y4" s="17"/>
      <c r="Z4" s="17"/>
      <c r="AA4" s="19"/>
      <c r="AB4" s="1179"/>
      <c r="AC4" s="1179"/>
      <c r="AD4" s="1179"/>
      <c r="AE4" s="1179"/>
      <c r="AF4" s="1179"/>
      <c r="AG4" s="1179"/>
      <c r="AH4" s="1179"/>
      <c r="AI4" s="1179"/>
      <c r="AJ4" s="1179"/>
      <c r="AK4" s="1179"/>
      <c r="AL4" s="1179"/>
      <c r="AM4" s="1179"/>
      <c r="AN4" s="1179"/>
      <c r="AO4" s="1179"/>
      <c r="AP4" s="1179"/>
      <c r="AQ4" s="1179"/>
      <c r="AR4" s="1180"/>
      <c r="AS4" s="1180"/>
      <c r="AT4" s="1180"/>
      <c r="AU4" s="1180"/>
      <c r="AV4" s="1180"/>
      <c r="AW4" s="1180"/>
      <c r="AX4" s="1180"/>
      <c r="AY4" s="1180"/>
      <c r="AZ4" s="1180"/>
      <c r="BA4" s="1180"/>
      <c r="BB4" s="1180"/>
      <c r="BC4" s="1180"/>
      <c r="BD4" s="1180"/>
      <c r="BE4" s="1180"/>
      <c r="BF4" s="1180"/>
      <c r="BG4" s="1180"/>
      <c r="BH4" s="1180"/>
      <c r="BI4" s="1180"/>
      <c r="BJ4" s="1180"/>
      <c r="BK4" s="1180"/>
      <c r="BL4" s="1180"/>
      <c r="BM4" s="1180"/>
      <c r="BN4" s="1180"/>
      <c r="BO4" s="1180"/>
      <c r="BP4" s="1180"/>
      <c r="BQ4" s="1180"/>
      <c r="BR4" s="1180"/>
      <c r="BS4" s="1180"/>
      <c r="BT4" s="1180"/>
      <c r="BU4" s="1180"/>
      <c r="BV4" s="1180"/>
      <c r="BW4" s="1180"/>
      <c r="BX4" s="1180"/>
      <c r="BY4" s="1180"/>
      <c r="BZ4" s="1180"/>
      <c r="CA4" s="1180"/>
      <c r="CB4" s="1180"/>
      <c r="CC4" s="1180"/>
      <c r="CD4" s="1180"/>
      <c r="CE4" s="1180"/>
      <c r="CF4" s="1180"/>
      <c r="CG4" s="1180"/>
      <c r="CH4" s="1180"/>
      <c r="CI4" s="1180"/>
      <c r="CJ4" s="1180"/>
      <c r="CK4" s="1180"/>
      <c r="CL4" s="1180"/>
      <c r="CM4" s="1180"/>
      <c r="CN4" s="1180"/>
      <c r="CO4" s="1180"/>
      <c r="CP4" s="1180"/>
      <c r="CQ4" s="1180"/>
      <c r="CR4" s="1180"/>
      <c r="CS4" s="1180"/>
      <c r="CT4" s="1180"/>
      <c r="CU4" s="1180"/>
      <c r="CV4" s="1180"/>
      <c r="CW4" s="1180"/>
      <c r="CX4" s="1180"/>
      <c r="CY4" s="1180"/>
      <c r="CZ4" s="1180"/>
      <c r="DA4" s="1180"/>
      <c r="DB4" s="1180"/>
      <c r="DC4" s="1180"/>
      <c r="DD4" s="1180"/>
      <c r="DE4" s="1180"/>
      <c r="DF4" s="1180"/>
      <c r="DG4" s="1180"/>
      <c r="DH4" s="1180"/>
      <c r="DI4" s="1180"/>
      <c r="DJ4" s="1180"/>
      <c r="DK4" s="1180"/>
      <c r="DL4" s="1180"/>
      <c r="DM4" s="1180"/>
      <c r="DN4" s="1180"/>
      <c r="DO4" s="1180"/>
      <c r="DP4" s="1180"/>
      <c r="DQ4" s="1180"/>
    </row>
    <row r="5" spans="1:121" s="5" customFormat="1" ht="15.75" customHeight="1" thickBot="1" x14ac:dyDescent="0.3">
      <c r="B5" s="6"/>
      <c r="C5" s="7"/>
      <c r="D5" s="8"/>
      <c r="E5" s="1215"/>
      <c r="F5" s="9"/>
      <c r="G5" s="9"/>
      <c r="H5" s="9"/>
      <c r="I5" s="9"/>
      <c r="J5" s="12"/>
      <c r="K5" s="13"/>
      <c r="L5" s="9"/>
      <c r="M5" s="14"/>
      <c r="N5" s="13"/>
      <c r="O5" s="13"/>
      <c r="P5" s="9"/>
      <c r="Q5" s="17"/>
      <c r="R5" s="16"/>
      <c r="S5" s="17"/>
      <c r="T5" s="17"/>
      <c r="U5" s="17"/>
      <c r="V5" s="17"/>
      <c r="W5" s="17"/>
      <c r="X5" s="17"/>
      <c r="Y5" s="17"/>
      <c r="Z5" s="17"/>
      <c r="AA5" s="18"/>
      <c r="AB5" s="1179"/>
      <c r="AC5" s="1179"/>
      <c r="AD5" s="1179"/>
      <c r="AE5" s="1179"/>
      <c r="AF5" s="1179"/>
      <c r="AG5" s="1179"/>
      <c r="AH5" s="1179"/>
      <c r="AI5" s="1179"/>
      <c r="AJ5" s="1179"/>
      <c r="AK5" s="1179"/>
      <c r="AL5" s="1179"/>
      <c r="AM5" s="1179"/>
      <c r="AN5" s="1179"/>
      <c r="AO5" s="1179"/>
      <c r="AP5" s="1179"/>
      <c r="AQ5" s="1179"/>
      <c r="AR5" s="1180"/>
      <c r="AS5" s="1180"/>
      <c r="AT5" s="1180"/>
      <c r="AU5" s="1180"/>
      <c r="AV5" s="1180"/>
      <c r="AW5" s="1180"/>
      <c r="AX5" s="1180"/>
      <c r="AY5" s="1180"/>
      <c r="AZ5" s="1180"/>
      <c r="BA5" s="1180"/>
      <c r="BB5" s="1180"/>
      <c r="BC5" s="1180"/>
      <c r="BD5" s="1180"/>
      <c r="BE5" s="1180"/>
      <c r="BF5" s="1180"/>
      <c r="BG5" s="1180"/>
      <c r="BH5" s="1180"/>
      <c r="BI5" s="1180"/>
      <c r="BJ5" s="1180"/>
      <c r="BK5" s="1180"/>
      <c r="BL5" s="1180"/>
      <c r="BM5" s="1180"/>
      <c r="BN5" s="1180"/>
      <c r="BO5" s="1180"/>
      <c r="BP5" s="1180"/>
      <c r="BQ5" s="1180"/>
      <c r="BR5" s="1180"/>
      <c r="BS5" s="1180"/>
      <c r="BT5" s="1180"/>
      <c r="BU5" s="1180"/>
      <c r="BV5" s="1180"/>
      <c r="BW5" s="1180"/>
      <c r="BX5" s="1180"/>
      <c r="BY5" s="1180"/>
      <c r="BZ5" s="1180"/>
      <c r="CA5" s="1180"/>
      <c r="CB5" s="1180"/>
      <c r="CC5" s="1180"/>
      <c r="CD5" s="1180"/>
      <c r="CE5" s="1180"/>
      <c r="CF5" s="1180"/>
      <c r="CG5" s="1180"/>
      <c r="CH5" s="1180"/>
      <c r="CI5" s="1180"/>
      <c r="CJ5" s="1180"/>
      <c r="CK5" s="1180"/>
      <c r="CL5" s="1180"/>
      <c r="CM5" s="1180"/>
      <c r="CN5" s="1180"/>
      <c r="CO5" s="1180"/>
      <c r="CP5" s="1180"/>
      <c r="CQ5" s="1180"/>
      <c r="CR5" s="1180"/>
      <c r="CS5" s="1180"/>
      <c r="CT5" s="1180"/>
      <c r="CU5" s="1180"/>
      <c r="CV5" s="1180"/>
      <c r="CW5" s="1180"/>
      <c r="CX5" s="1180"/>
      <c r="CY5" s="1180"/>
      <c r="CZ5" s="1180"/>
      <c r="DA5" s="1180"/>
      <c r="DB5" s="1180"/>
      <c r="DC5" s="1180"/>
      <c r="DD5" s="1180"/>
      <c r="DE5" s="1180"/>
      <c r="DF5" s="1180"/>
      <c r="DG5" s="1180"/>
      <c r="DH5" s="1180"/>
      <c r="DI5" s="1180"/>
      <c r="DJ5" s="1180"/>
      <c r="DK5" s="1180"/>
      <c r="DL5" s="1180"/>
      <c r="DM5" s="1180"/>
      <c r="DN5" s="1180"/>
      <c r="DO5" s="1180"/>
      <c r="DP5" s="1180"/>
      <c r="DQ5" s="1180"/>
    </row>
    <row r="6" spans="1:121" ht="15.75" customHeight="1" thickBot="1" x14ac:dyDescent="0.3">
      <c r="B6" s="6"/>
      <c r="C6" s="7"/>
      <c r="D6" s="1317"/>
      <c r="E6" s="1445" t="s">
        <v>4</v>
      </c>
      <c r="F6" s="1448" t="s">
        <v>5</v>
      </c>
      <c r="G6" s="1451" t="s">
        <v>6</v>
      </c>
      <c r="H6" s="1454" t="s">
        <v>7</v>
      </c>
      <c r="I6" s="1454"/>
      <c r="J6" s="1455" t="s">
        <v>8</v>
      </c>
      <c r="K6" s="20" t="s">
        <v>9</v>
      </c>
      <c r="L6" s="20" t="s">
        <v>10</v>
      </c>
      <c r="M6" s="21" t="s">
        <v>11</v>
      </c>
      <c r="N6" s="1458" t="s">
        <v>98</v>
      </c>
      <c r="O6" s="1458"/>
      <c r="P6" s="1458"/>
      <c r="Q6" s="1458"/>
      <c r="R6" s="1459" t="s">
        <v>100</v>
      </c>
      <c r="S6" s="1459"/>
      <c r="T6" s="1459"/>
      <c r="U6" s="1459"/>
      <c r="V6" s="1459"/>
      <c r="W6" s="1459"/>
      <c r="X6" s="1459"/>
      <c r="Y6" s="1459"/>
      <c r="Z6" s="1460"/>
      <c r="AA6" s="1461" t="s">
        <v>101</v>
      </c>
    </row>
    <row r="7" spans="1:121" ht="24.95" customHeight="1" thickBot="1" x14ac:dyDescent="0.25">
      <c r="B7" s="1477" t="s">
        <v>12</v>
      </c>
      <c r="C7" s="1479" t="s">
        <v>13</v>
      </c>
      <c r="D7" s="1481" t="s">
        <v>14</v>
      </c>
      <c r="E7" s="1446"/>
      <c r="F7" s="1449"/>
      <c r="G7" s="1452"/>
      <c r="H7" s="1483" t="s">
        <v>15</v>
      </c>
      <c r="I7" s="1485" t="s">
        <v>16</v>
      </c>
      <c r="J7" s="1456"/>
      <c r="K7" s="1464" t="s">
        <v>94</v>
      </c>
      <c r="L7" s="1464" t="s">
        <v>95</v>
      </c>
      <c r="M7" s="1469" t="s">
        <v>96</v>
      </c>
      <c r="N7" s="1471" t="s">
        <v>97</v>
      </c>
      <c r="O7" s="1473" t="s">
        <v>17</v>
      </c>
      <c r="P7" s="1475" t="s">
        <v>18</v>
      </c>
      <c r="Q7" s="1487" t="s">
        <v>19</v>
      </c>
      <c r="R7" s="1489" t="s">
        <v>20</v>
      </c>
      <c r="S7" s="1489"/>
      <c r="T7" s="1489"/>
      <c r="U7" s="1466" t="s">
        <v>86</v>
      </c>
      <c r="V7" s="1466"/>
      <c r="W7" s="1466"/>
      <c r="X7" s="1467" t="s">
        <v>99</v>
      </c>
      <c r="Y7" s="1467"/>
      <c r="Z7" s="1468"/>
      <c r="AA7" s="1462"/>
    </row>
    <row r="8" spans="1:121" ht="24.95" customHeight="1" thickBot="1" x14ac:dyDescent="0.25">
      <c r="A8" s="1283" t="s">
        <v>21</v>
      </c>
      <c r="B8" s="1478"/>
      <c r="C8" s="1480"/>
      <c r="D8" s="1482"/>
      <c r="E8" s="1447"/>
      <c r="F8" s="1450"/>
      <c r="G8" s="1453"/>
      <c r="H8" s="1484"/>
      <c r="I8" s="1486"/>
      <c r="J8" s="1457"/>
      <c r="K8" s="1465"/>
      <c r="L8" s="1465"/>
      <c r="M8" s="1470"/>
      <c r="N8" s="1472"/>
      <c r="O8" s="1474"/>
      <c r="P8" s="1476"/>
      <c r="Q8" s="1488"/>
      <c r="R8" s="1210" t="s">
        <v>22</v>
      </c>
      <c r="S8" s="1211" t="s">
        <v>23</v>
      </c>
      <c r="T8" s="1212" t="s">
        <v>24</v>
      </c>
      <c r="U8" s="1213" t="s">
        <v>22</v>
      </c>
      <c r="V8" s="1211" t="s">
        <v>23</v>
      </c>
      <c r="W8" s="1212" t="s">
        <v>24</v>
      </c>
      <c r="X8" s="1213" t="s">
        <v>22</v>
      </c>
      <c r="Y8" s="1211" t="s">
        <v>23</v>
      </c>
      <c r="Z8" s="1212" t="s">
        <v>24</v>
      </c>
      <c r="AA8" s="1463"/>
    </row>
    <row r="9" spans="1:121" s="25" customFormat="1" ht="28.5" customHeight="1" x14ac:dyDescent="0.25">
      <c r="A9" s="1284">
        <v>100</v>
      </c>
      <c r="B9" s="1285">
        <v>2212</v>
      </c>
      <c r="C9" s="1286"/>
      <c r="D9" s="1277">
        <v>3408</v>
      </c>
      <c r="E9" s="438" t="s">
        <v>507</v>
      </c>
      <c r="F9" s="439" t="s">
        <v>145</v>
      </c>
      <c r="G9" s="440">
        <v>423</v>
      </c>
      <c r="H9" s="440">
        <v>2018</v>
      </c>
      <c r="I9" s="441">
        <v>2019</v>
      </c>
      <c r="J9" s="442">
        <f t="shared" ref="J9:J31" si="0">K9+L9+M9+SUM(R9:AA9)</f>
        <v>6291</v>
      </c>
      <c r="K9" s="443">
        <v>0</v>
      </c>
      <c r="L9" s="444">
        <v>0</v>
      </c>
      <c r="M9" s="445">
        <f t="shared" ref="M9:M31" si="1">N9+O9+P9+Q9</f>
        <v>6291</v>
      </c>
      <c r="N9" s="446">
        <v>0</v>
      </c>
      <c r="O9" s="447">
        <v>6291</v>
      </c>
      <c r="P9" s="448">
        <v>0</v>
      </c>
      <c r="Q9" s="444">
        <v>0</v>
      </c>
      <c r="R9" s="449">
        <v>0</v>
      </c>
      <c r="S9" s="448">
        <v>0</v>
      </c>
      <c r="T9" s="444">
        <v>0</v>
      </c>
      <c r="U9" s="449">
        <v>0</v>
      </c>
      <c r="V9" s="448">
        <v>0</v>
      </c>
      <c r="W9" s="444">
        <v>0</v>
      </c>
      <c r="X9" s="449">
        <v>0</v>
      </c>
      <c r="Y9" s="448">
        <v>0</v>
      </c>
      <c r="Z9" s="492">
        <v>0</v>
      </c>
      <c r="AA9" s="493">
        <v>0</v>
      </c>
    </row>
    <row r="10" spans="1:121" s="23" customFormat="1" ht="30.75" customHeight="1" x14ac:dyDescent="0.25">
      <c r="A10" s="105">
        <v>100</v>
      </c>
      <c r="B10" s="106">
        <v>2212</v>
      </c>
      <c r="C10" s="107"/>
      <c r="D10" s="108">
        <v>3093</v>
      </c>
      <c r="E10" s="109" t="s">
        <v>107</v>
      </c>
      <c r="F10" s="110"/>
      <c r="G10" s="111"/>
      <c r="H10" s="111">
        <v>2019</v>
      </c>
      <c r="I10" s="112">
        <v>2019</v>
      </c>
      <c r="J10" s="113">
        <f t="shared" si="0"/>
        <v>1000</v>
      </c>
      <c r="K10" s="114">
        <v>0</v>
      </c>
      <c r="L10" s="115">
        <v>0</v>
      </c>
      <c r="M10" s="116">
        <f t="shared" si="1"/>
        <v>1000</v>
      </c>
      <c r="N10" s="117">
        <v>0</v>
      </c>
      <c r="O10" s="118">
        <v>1000</v>
      </c>
      <c r="P10" s="119">
        <v>0</v>
      </c>
      <c r="Q10" s="120">
        <v>0</v>
      </c>
      <c r="R10" s="121">
        <v>0</v>
      </c>
      <c r="S10" s="122">
        <v>0</v>
      </c>
      <c r="T10" s="123">
        <v>0</v>
      </c>
      <c r="U10" s="124">
        <v>0</v>
      </c>
      <c r="V10" s="122">
        <v>0</v>
      </c>
      <c r="W10" s="120">
        <v>0</v>
      </c>
      <c r="X10" s="121">
        <v>0</v>
      </c>
      <c r="Y10" s="122">
        <v>0</v>
      </c>
      <c r="Z10" s="120">
        <v>0</v>
      </c>
      <c r="AA10" s="613">
        <v>0</v>
      </c>
      <c r="AB10" s="25"/>
      <c r="AC10" s="25"/>
      <c r="AD10" s="25"/>
      <c r="AE10" s="25"/>
      <c r="AF10" s="25"/>
      <c r="AG10" s="25"/>
      <c r="AH10" s="25"/>
      <c r="AI10" s="25"/>
      <c r="AJ10" s="25"/>
      <c r="AK10" s="25"/>
      <c r="AL10" s="25"/>
      <c r="AM10" s="25"/>
      <c r="AN10" s="25"/>
      <c r="AO10" s="25"/>
      <c r="AP10" s="25"/>
      <c r="AQ10" s="25"/>
      <c r="AR10" s="25"/>
      <c r="AS10" s="25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  <c r="BF10" s="25"/>
      <c r="BG10" s="25"/>
      <c r="BH10" s="25"/>
      <c r="BI10" s="25"/>
      <c r="BJ10" s="25"/>
      <c r="BK10" s="25"/>
      <c r="BL10" s="25"/>
      <c r="BM10" s="25"/>
      <c r="BN10" s="25"/>
      <c r="BO10" s="25"/>
      <c r="BP10" s="25"/>
      <c r="BQ10" s="25"/>
      <c r="BR10" s="25"/>
      <c r="BS10" s="25"/>
      <c r="BT10" s="25"/>
      <c r="BU10" s="25"/>
      <c r="BV10" s="25"/>
      <c r="BW10" s="25"/>
      <c r="BX10" s="25"/>
      <c r="BY10" s="25"/>
      <c r="BZ10" s="25"/>
      <c r="CA10" s="25"/>
      <c r="CB10" s="25"/>
      <c r="CC10" s="25"/>
      <c r="CD10" s="25"/>
      <c r="CE10" s="25"/>
      <c r="CF10" s="25"/>
      <c r="CG10" s="25"/>
      <c r="CH10" s="25"/>
      <c r="CI10" s="25"/>
      <c r="CJ10" s="25"/>
      <c r="CK10" s="25"/>
      <c r="CL10" s="25"/>
      <c r="CM10" s="25"/>
      <c r="CN10" s="25"/>
      <c r="CO10" s="25"/>
      <c r="CP10" s="25"/>
      <c r="CQ10" s="25"/>
      <c r="CR10" s="25"/>
      <c r="CS10" s="25"/>
      <c r="CT10" s="25"/>
      <c r="CU10" s="25"/>
      <c r="CV10" s="25"/>
      <c r="CW10" s="25"/>
      <c r="CX10" s="25"/>
      <c r="CY10" s="25"/>
      <c r="CZ10" s="25"/>
      <c r="DA10" s="25"/>
      <c r="DB10" s="25"/>
      <c r="DC10" s="25"/>
      <c r="DD10" s="25"/>
      <c r="DE10" s="25"/>
      <c r="DF10" s="25"/>
      <c r="DG10" s="25"/>
      <c r="DH10" s="25"/>
      <c r="DI10" s="25"/>
      <c r="DJ10" s="25"/>
      <c r="DK10" s="25"/>
      <c r="DL10" s="25"/>
      <c r="DM10" s="25"/>
      <c r="DN10" s="25"/>
      <c r="DO10" s="25"/>
      <c r="DP10" s="25"/>
      <c r="DQ10" s="25"/>
    </row>
    <row r="11" spans="1:121" s="23" customFormat="1" ht="24.95" customHeight="1" x14ac:dyDescent="0.25">
      <c r="A11" s="126">
        <v>100</v>
      </c>
      <c r="B11" s="127">
        <v>2212</v>
      </c>
      <c r="C11" s="128"/>
      <c r="D11" s="1282">
        <v>3408</v>
      </c>
      <c r="E11" s="130" t="s">
        <v>108</v>
      </c>
      <c r="F11" s="131"/>
      <c r="G11" s="132">
        <v>400</v>
      </c>
      <c r="H11" s="133">
        <v>2019</v>
      </c>
      <c r="I11" s="134">
        <v>2019</v>
      </c>
      <c r="J11" s="135">
        <f t="shared" si="0"/>
        <v>5000</v>
      </c>
      <c r="K11" s="136">
        <v>0</v>
      </c>
      <c r="L11" s="137">
        <v>0</v>
      </c>
      <c r="M11" s="138">
        <f t="shared" si="1"/>
        <v>5000</v>
      </c>
      <c r="N11" s="139">
        <v>0</v>
      </c>
      <c r="O11" s="140">
        <f>10000-5000</f>
        <v>5000</v>
      </c>
      <c r="P11" s="141">
        <v>0</v>
      </c>
      <c r="Q11" s="137">
        <v>0</v>
      </c>
      <c r="R11" s="142">
        <v>0</v>
      </c>
      <c r="S11" s="141">
        <v>0</v>
      </c>
      <c r="T11" s="143">
        <v>0</v>
      </c>
      <c r="U11" s="144">
        <v>0</v>
      </c>
      <c r="V11" s="141">
        <v>0</v>
      </c>
      <c r="W11" s="137">
        <v>0</v>
      </c>
      <c r="X11" s="142">
        <v>0</v>
      </c>
      <c r="Y11" s="141">
        <v>0</v>
      </c>
      <c r="Z11" s="137">
        <v>0</v>
      </c>
      <c r="AA11" s="135">
        <v>0</v>
      </c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  <c r="CJ11" s="25"/>
      <c r="CK11" s="25"/>
      <c r="CL11" s="25"/>
      <c r="CM11" s="25"/>
      <c r="CN11" s="25"/>
      <c r="CO11" s="25"/>
      <c r="CP11" s="25"/>
      <c r="CQ11" s="25"/>
      <c r="CR11" s="25"/>
      <c r="CS11" s="25"/>
      <c r="CT11" s="25"/>
      <c r="CU11" s="25"/>
      <c r="CV11" s="25"/>
      <c r="CW11" s="25"/>
      <c r="CX11" s="25"/>
      <c r="CY11" s="25"/>
      <c r="CZ11" s="25"/>
      <c r="DA11" s="25"/>
      <c r="DB11" s="25"/>
      <c r="DC11" s="25"/>
      <c r="DD11" s="25"/>
      <c r="DE11" s="25"/>
      <c r="DF11" s="25"/>
      <c r="DG11" s="25"/>
      <c r="DH11" s="25"/>
      <c r="DI11" s="25"/>
      <c r="DJ11" s="25"/>
      <c r="DK11" s="25"/>
      <c r="DL11" s="25"/>
      <c r="DM11" s="25"/>
      <c r="DN11" s="25"/>
      <c r="DO11" s="25"/>
      <c r="DP11" s="25"/>
      <c r="DQ11" s="25"/>
    </row>
    <row r="12" spans="1:121" s="23" customFormat="1" ht="28.5" customHeight="1" thickBot="1" x14ac:dyDescent="0.3">
      <c r="A12" s="105">
        <v>100</v>
      </c>
      <c r="B12" s="106">
        <v>2212</v>
      </c>
      <c r="C12" s="451"/>
      <c r="D12" s="624"/>
      <c r="E12" s="438" t="s">
        <v>214</v>
      </c>
      <c r="F12" s="131"/>
      <c r="G12" s="452">
        <v>400</v>
      </c>
      <c r="H12" s="132">
        <v>2019</v>
      </c>
      <c r="I12" s="453">
        <v>2020</v>
      </c>
      <c r="J12" s="454">
        <f t="shared" si="0"/>
        <v>158425</v>
      </c>
      <c r="K12" s="455">
        <v>0</v>
      </c>
      <c r="L12" s="456">
        <v>0</v>
      </c>
      <c r="M12" s="457">
        <f t="shared" si="1"/>
        <v>108425</v>
      </c>
      <c r="N12" s="458">
        <v>0</v>
      </c>
      <c r="O12" s="118">
        <v>30000</v>
      </c>
      <c r="P12" s="459">
        <f>178425-100000</f>
        <v>78425</v>
      </c>
      <c r="Q12" s="137">
        <v>0</v>
      </c>
      <c r="R12" s="142">
        <v>50000</v>
      </c>
      <c r="S12" s="141">
        <v>0</v>
      </c>
      <c r="T12" s="143">
        <v>0</v>
      </c>
      <c r="U12" s="144">
        <v>0</v>
      </c>
      <c r="V12" s="141">
        <v>0</v>
      </c>
      <c r="W12" s="137">
        <v>0</v>
      </c>
      <c r="X12" s="142">
        <v>0</v>
      </c>
      <c r="Y12" s="141">
        <v>0</v>
      </c>
      <c r="Z12" s="137">
        <v>0</v>
      </c>
      <c r="AA12" s="135">
        <v>0</v>
      </c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</row>
    <row r="13" spans="1:121" s="25" customFormat="1" ht="25.5" customHeight="1" x14ac:dyDescent="0.25">
      <c r="A13" s="1070">
        <v>300</v>
      </c>
      <c r="B13" s="1073">
        <v>2212</v>
      </c>
      <c r="C13" s="1074"/>
      <c r="D13" s="1249">
        <v>3408</v>
      </c>
      <c r="E13" s="438" t="s">
        <v>508</v>
      </c>
      <c r="F13" s="439" t="s">
        <v>123</v>
      </c>
      <c r="G13" s="440">
        <v>423</v>
      </c>
      <c r="H13" s="440">
        <v>2017</v>
      </c>
      <c r="I13" s="441">
        <v>2019</v>
      </c>
      <c r="J13" s="442">
        <f>K13+L13+M13+SUM(R13:AA13)</f>
        <v>13635</v>
      </c>
      <c r="K13" s="443">
        <v>0</v>
      </c>
      <c r="L13" s="444">
        <v>4047</v>
      </c>
      <c r="M13" s="445">
        <f>N13+O13+P13+Q13</f>
        <v>9588</v>
      </c>
      <c r="N13" s="446">
        <v>0</v>
      </c>
      <c r="O13" s="447">
        <v>9588</v>
      </c>
      <c r="P13" s="448">
        <v>0</v>
      </c>
      <c r="Q13" s="444">
        <v>0</v>
      </c>
      <c r="R13" s="449">
        <v>0</v>
      </c>
      <c r="S13" s="448">
        <v>0</v>
      </c>
      <c r="T13" s="444">
        <v>0</v>
      </c>
      <c r="U13" s="449">
        <v>0</v>
      </c>
      <c r="V13" s="448">
        <v>0</v>
      </c>
      <c r="W13" s="444">
        <v>0</v>
      </c>
      <c r="X13" s="449">
        <v>0</v>
      </c>
      <c r="Y13" s="448">
        <v>0</v>
      </c>
      <c r="Z13" s="444">
        <v>0</v>
      </c>
      <c r="AA13" s="982">
        <v>0</v>
      </c>
    </row>
    <row r="14" spans="1:121" s="25" customFormat="1" ht="28.5" customHeight="1" x14ac:dyDescent="0.25">
      <c r="A14" s="436">
        <v>100</v>
      </c>
      <c r="B14" s="460">
        <v>2212</v>
      </c>
      <c r="C14" s="460"/>
      <c r="D14" s="624"/>
      <c r="E14" s="438" t="s">
        <v>215</v>
      </c>
      <c r="F14" s="461" t="s">
        <v>145</v>
      </c>
      <c r="G14" s="111">
        <v>423</v>
      </c>
      <c r="H14" s="111">
        <v>2021</v>
      </c>
      <c r="I14" s="112">
        <v>2021</v>
      </c>
      <c r="J14" s="462">
        <f t="shared" si="0"/>
        <v>5116</v>
      </c>
      <c r="K14" s="463">
        <v>0</v>
      </c>
      <c r="L14" s="464">
        <v>0</v>
      </c>
      <c r="M14" s="465">
        <f t="shared" si="1"/>
        <v>0</v>
      </c>
      <c r="N14" s="466">
        <v>0</v>
      </c>
      <c r="O14" s="118">
        <v>0</v>
      </c>
      <c r="P14" s="467">
        <v>0</v>
      </c>
      <c r="Q14" s="468">
        <v>0</v>
      </c>
      <c r="R14" s="469">
        <v>0</v>
      </c>
      <c r="S14" s="467">
        <v>0</v>
      </c>
      <c r="T14" s="464">
        <v>0</v>
      </c>
      <c r="U14" s="470">
        <v>767</v>
      </c>
      <c r="V14" s="119">
        <v>4349</v>
      </c>
      <c r="W14" s="468">
        <v>0</v>
      </c>
      <c r="X14" s="469">
        <v>0</v>
      </c>
      <c r="Y14" s="467">
        <v>0</v>
      </c>
      <c r="Z14" s="468">
        <v>0</v>
      </c>
      <c r="AA14" s="478">
        <v>0</v>
      </c>
    </row>
    <row r="15" spans="1:121" s="25" customFormat="1" ht="24.95" customHeight="1" x14ac:dyDescent="0.25">
      <c r="A15" s="436">
        <v>100</v>
      </c>
      <c r="B15" s="460">
        <v>2212</v>
      </c>
      <c r="C15" s="460"/>
      <c r="D15" s="624"/>
      <c r="E15" s="438" t="s">
        <v>216</v>
      </c>
      <c r="F15" s="461"/>
      <c r="G15" s="111">
        <v>423</v>
      </c>
      <c r="H15" s="111">
        <v>2020</v>
      </c>
      <c r="I15" s="112">
        <v>2021</v>
      </c>
      <c r="J15" s="462">
        <f t="shared" si="0"/>
        <v>37791</v>
      </c>
      <c r="K15" s="463">
        <v>0</v>
      </c>
      <c r="L15" s="464">
        <v>0</v>
      </c>
      <c r="M15" s="465">
        <f t="shared" si="1"/>
        <v>0</v>
      </c>
      <c r="N15" s="466">
        <v>0</v>
      </c>
      <c r="O15" s="118">
        <v>0</v>
      </c>
      <c r="P15" s="467">
        <v>0</v>
      </c>
      <c r="Q15" s="468">
        <v>0</v>
      </c>
      <c r="R15" s="470">
        <v>3000</v>
      </c>
      <c r="S15" s="119">
        <v>17000</v>
      </c>
      <c r="T15" s="115">
        <v>0</v>
      </c>
      <c r="U15" s="470">
        <v>2669</v>
      </c>
      <c r="V15" s="119">
        <v>15122</v>
      </c>
      <c r="W15" s="468">
        <v>0</v>
      </c>
      <c r="X15" s="469">
        <v>0</v>
      </c>
      <c r="Y15" s="467">
        <v>0</v>
      </c>
      <c r="Z15" s="468">
        <v>0</v>
      </c>
      <c r="AA15" s="478">
        <v>0</v>
      </c>
    </row>
    <row r="16" spans="1:121" s="25" customFormat="1" ht="29.25" customHeight="1" x14ac:dyDescent="0.25">
      <c r="A16" s="436">
        <v>100</v>
      </c>
      <c r="B16" s="460">
        <v>2212</v>
      </c>
      <c r="C16" s="460"/>
      <c r="D16" s="108"/>
      <c r="E16" s="472" t="s">
        <v>217</v>
      </c>
      <c r="F16" s="461" t="s">
        <v>145</v>
      </c>
      <c r="G16" s="111"/>
      <c r="H16" s="111">
        <v>2020</v>
      </c>
      <c r="I16" s="461">
        <v>201</v>
      </c>
      <c r="J16" s="462">
        <f t="shared" si="0"/>
        <v>6000</v>
      </c>
      <c r="K16" s="463">
        <v>0</v>
      </c>
      <c r="L16" s="464">
        <v>0</v>
      </c>
      <c r="M16" s="465">
        <f t="shared" si="1"/>
        <v>0</v>
      </c>
      <c r="N16" s="466">
        <v>0</v>
      </c>
      <c r="O16" s="118">
        <v>0</v>
      </c>
      <c r="P16" s="467">
        <v>0</v>
      </c>
      <c r="Q16" s="468">
        <v>0</v>
      </c>
      <c r="R16" s="470">
        <v>1000</v>
      </c>
      <c r="S16" s="119">
        <v>0</v>
      </c>
      <c r="T16" s="115">
        <v>0</v>
      </c>
      <c r="U16" s="470">
        <v>750</v>
      </c>
      <c r="V16" s="119">
        <v>4250</v>
      </c>
      <c r="W16" s="468"/>
      <c r="X16" s="469"/>
      <c r="Y16" s="467"/>
      <c r="Z16" s="468"/>
      <c r="AA16" s="478"/>
    </row>
    <row r="17" spans="1:121" s="23" customFormat="1" ht="24.95" customHeight="1" x14ac:dyDescent="0.25">
      <c r="A17" s="126">
        <v>100</v>
      </c>
      <c r="B17" s="127">
        <v>2212</v>
      </c>
      <c r="C17" s="494"/>
      <c r="D17" s="108"/>
      <c r="E17" s="130" t="s">
        <v>218</v>
      </c>
      <c r="F17" s="131" t="s">
        <v>123</v>
      </c>
      <c r="G17" s="495">
        <v>400</v>
      </c>
      <c r="H17" s="496"/>
      <c r="I17" s="495"/>
      <c r="J17" s="442">
        <f t="shared" si="0"/>
        <v>4098398</v>
      </c>
      <c r="K17" s="455">
        <v>522</v>
      </c>
      <c r="L17" s="456">
        <v>1126</v>
      </c>
      <c r="M17" s="445">
        <f t="shared" si="1"/>
        <v>0</v>
      </c>
      <c r="N17" s="139">
        <v>0</v>
      </c>
      <c r="O17" s="140">
        <f>5000-5000</f>
        <v>0</v>
      </c>
      <c r="P17" s="459">
        <v>0</v>
      </c>
      <c r="Q17" s="456">
        <v>0</v>
      </c>
      <c r="R17" s="497">
        <v>5000</v>
      </c>
      <c r="S17" s="459">
        <v>0</v>
      </c>
      <c r="T17" s="456">
        <v>0</v>
      </c>
      <c r="U17" s="497">
        <v>210000</v>
      </c>
      <c r="V17" s="448">
        <v>1190000</v>
      </c>
      <c r="W17" s="456">
        <v>0</v>
      </c>
      <c r="X17" s="497">
        <v>240000</v>
      </c>
      <c r="Y17" s="448">
        <v>1360000</v>
      </c>
      <c r="Z17" s="1182">
        <v>0</v>
      </c>
      <c r="AA17" s="454">
        <v>1091750</v>
      </c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5"/>
      <c r="DB17" s="25"/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</row>
    <row r="18" spans="1:121" s="479" customFormat="1" ht="24.95" customHeight="1" x14ac:dyDescent="0.25">
      <c r="A18" s="1287">
        <v>100</v>
      </c>
      <c r="B18" s="486">
        <v>2219</v>
      </c>
      <c r="C18" s="490"/>
      <c r="D18" s="108"/>
      <c r="E18" s="491" t="s">
        <v>219</v>
      </c>
      <c r="F18" s="439" t="s">
        <v>127</v>
      </c>
      <c r="G18" s="440">
        <v>400</v>
      </c>
      <c r="H18" s="440">
        <v>2019</v>
      </c>
      <c r="I18" s="441">
        <v>2022</v>
      </c>
      <c r="J18" s="442">
        <f t="shared" si="0"/>
        <v>325900</v>
      </c>
      <c r="K18" s="443">
        <v>0</v>
      </c>
      <c r="L18" s="444">
        <v>0</v>
      </c>
      <c r="M18" s="445">
        <f t="shared" si="1"/>
        <v>400</v>
      </c>
      <c r="N18" s="446">
        <v>0</v>
      </c>
      <c r="O18" s="447">
        <v>400</v>
      </c>
      <c r="P18" s="448">
        <v>0</v>
      </c>
      <c r="Q18" s="444">
        <v>0</v>
      </c>
      <c r="R18" s="449">
        <v>10890</v>
      </c>
      <c r="S18" s="448">
        <v>0</v>
      </c>
      <c r="T18" s="444">
        <v>0</v>
      </c>
      <c r="U18" s="449">
        <v>18886</v>
      </c>
      <c r="V18" s="448">
        <v>106964</v>
      </c>
      <c r="W18" s="444">
        <v>0</v>
      </c>
      <c r="X18" s="449">
        <v>28314</v>
      </c>
      <c r="Y18" s="448">
        <v>160446</v>
      </c>
      <c r="Z18" s="492">
        <v>0</v>
      </c>
      <c r="AA18" s="493">
        <v>0</v>
      </c>
      <c r="AB18" s="480"/>
      <c r="AC18" s="480"/>
      <c r="AD18" s="480"/>
      <c r="AE18" s="480"/>
      <c r="AF18" s="480"/>
      <c r="AG18" s="480"/>
      <c r="AH18" s="480"/>
      <c r="AI18" s="480"/>
      <c r="AJ18" s="480"/>
      <c r="AK18" s="480"/>
      <c r="AL18" s="480"/>
      <c r="AM18" s="480"/>
      <c r="AN18" s="480"/>
      <c r="AO18" s="480"/>
      <c r="AP18" s="480"/>
      <c r="AQ18" s="480"/>
      <c r="AR18" s="480"/>
      <c r="AS18" s="480"/>
      <c r="AT18" s="480"/>
      <c r="AU18" s="480"/>
      <c r="AV18" s="480"/>
      <c r="AW18" s="480"/>
      <c r="AX18" s="480"/>
      <c r="AY18" s="480"/>
      <c r="AZ18" s="480"/>
      <c r="BA18" s="480"/>
      <c r="BB18" s="480"/>
      <c r="BC18" s="480"/>
      <c r="BD18" s="480"/>
      <c r="BE18" s="480"/>
      <c r="BF18" s="480"/>
      <c r="BG18" s="480"/>
      <c r="BH18" s="480"/>
      <c r="BI18" s="480"/>
      <c r="BJ18" s="480"/>
      <c r="BK18" s="480"/>
      <c r="BL18" s="480"/>
      <c r="BM18" s="480"/>
      <c r="BN18" s="480"/>
      <c r="BO18" s="480"/>
      <c r="BP18" s="480"/>
      <c r="BQ18" s="480"/>
      <c r="BR18" s="480"/>
      <c r="BS18" s="480"/>
      <c r="BT18" s="480"/>
      <c r="BU18" s="480"/>
      <c r="BV18" s="480"/>
      <c r="BW18" s="480"/>
      <c r="BX18" s="480"/>
      <c r="BY18" s="480"/>
      <c r="BZ18" s="480"/>
      <c r="CA18" s="480"/>
      <c r="CB18" s="480"/>
      <c r="CC18" s="480"/>
      <c r="CD18" s="480"/>
      <c r="CE18" s="480"/>
      <c r="CF18" s="480"/>
      <c r="CG18" s="480"/>
      <c r="CH18" s="480"/>
      <c r="CI18" s="480"/>
      <c r="CJ18" s="480"/>
      <c r="CK18" s="480"/>
      <c r="CL18" s="480"/>
      <c r="CM18" s="480"/>
      <c r="CN18" s="480"/>
      <c r="CO18" s="480"/>
      <c r="CP18" s="480"/>
      <c r="CQ18" s="480"/>
      <c r="CR18" s="480"/>
      <c r="CS18" s="480"/>
      <c r="CT18" s="480"/>
      <c r="CU18" s="480"/>
      <c r="CV18" s="480"/>
      <c r="CW18" s="480"/>
      <c r="CX18" s="480"/>
      <c r="CY18" s="480"/>
      <c r="CZ18" s="480"/>
      <c r="DA18" s="480"/>
      <c r="DB18" s="480"/>
      <c r="DC18" s="480"/>
      <c r="DD18" s="480"/>
      <c r="DE18" s="480"/>
      <c r="DF18" s="480"/>
      <c r="DG18" s="480"/>
      <c r="DH18" s="480"/>
      <c r="DI18" s="480"/>
      <c r="DJ18" s="480"/>
      <c r="DK18" s="480"/>
      <c r="DL18" s="480"/>
      <c r="DM18" s="480"/>
      <c r="DN18" s="480"/>
      <c r="DO18" s="480"/>
      <c r="DP18" s="480"/>
      <c r="DQ18" s="480"/>
    </row>
    <row r="19" spans="1:121" s="479" customFormat="1" ht="24.95" customHeight="1" x14ac:dyDescent="0.25">
      <c r="A19" s="1288">
        <v>100</v>
      </c>
      <c r="B19" s="477">
        <v>2219</v>
      </c>
      <c r="C19" s="481"/>
      <c r="D19" s="624"/>
      <c r="E19" s="796" t="s">
        <v>220</v>
      </c>
      <c r="F19" s="482"/>
      <c r="G19" s="483">
        <v>400</v>
      </c>
      <c r="H19" s="483">
        <v>2016</v>
      </c>
      <c r="I19" s="484">
        <v>2019</v>
      </c>
      <c r="J19" s="462">
        <f t="shared" si="0"/>
        <v>3250</v>
      </c>
      <c r="K19" s="463">
        <v>2400</v>
      </c>
      <c r="L19" s="464">
        <v>680</v>
      </c>
      <c r="M19" s="465">
        <f t="shared" si="1"/>
        <v>170</v>
      </c>
      <c r="N19" s="466">
        <v>0</v>
      </c>
      <c r="O19" s="475">
        <v>170</v>
      </c>
      <c r="P19" s="467">
        <v>0</v>
      </c>
      <c r="Q19" s="464">
        <v>0</v>
      </c>
      <c r="R19" s="469">
        <v>0</v>
      </c>
      <c r="S19" s="467">
        <v>0</v>
      </c>
      <c r="T19" s="464">
        <v>0</v>
      </c>
      <c r="U19" s="469">
        <v>0</v>
      </c>
      <c r="V19" s="467">
        <v>0</v>
      </c>
      <c r="W19" s="464">
        <v>0</v>
      </c>
      <c r="X19" s="469">
        <v>0</v>
      </c>
      <c r="Y19" s="467">
        <v>0</v>
      </c>
      <c r="Z19" s="468">
        <v>0</v>
      </c>
      <c r="AA19" s="478">
        <v>0</v>
      </c>
      <c r="AB19" s="480"/>
      <c r="AC19" s="480"/>
      <c r="AD19" s="480"/>
      <c r="AE19" s="480"/>
      <c r="AF19" s="480"/>
      <c r="AG19" s="480"/>
      <c r="AH19" s="480"/>
      <c r="AI19" s="480"/>
      <c r="AJ19" s="480"/>
      <c r="AK19" s="480"/>
      <c r="AL19" s="480"/>
      <c r="AM19" s="480"/>
      <c r="AN19" s="480"/>
      <c r="AO19" s="480"/>
      <c r="AP19" s="480"/>
      <c r="AQ19" s="480"/>
      <c r="AR19" s="480"/>
      <c r="AS19" s="480"/>
      <c r="AT19" s="480"/>
      <c r="AU19" s="480"/>
      <c r="AV19" s="480"/>
      <c r="AW19" s="480"/>
      <c r="AX19" s="480"/>
      <c r="AY19" s="480"/>
      <c r="AZ19" s="480"/>
      <c r="BA19" s="480"/>
      <c r="BB19" s="480"/>
      <c r="BC19" s="480"/>
      <c r="BD19" s="480"/>
      <c r="BE19" s="480"/>
      <c r="BF19" s="480"/>
      <c r="BG19" s="480"/>
      <c r="BH19" s="480"/>
      <c r="BI19" s="480"/>
      <c r="BJ19" s="480"/>
      <c r="BK19" s="480"/>
      <c r="BL19" s="480"/>
      <c r="BM19" s="480"/>
      <c r="BN19" s="480"/>
      <c r="BO19" s="480"/>
      <c r="BP19" s="480"/>
      <c r="BQ19" s="480"/>
      <c r="BR19" s="480"/>
      <c r="BS19" s="480"/>
      <c r="BT19" s="480"/>
      <c r="BU19" s="480"/>
      <c r="BV19" s="480"/>
      <c r="BW19" s="480"/>
      <c r="BX19" s="480"/>
      <c r="BY19" s="480"/>
      <c r="BZ19" s="480"/>
      <c r="CA19" s="480"/>
      <c r="CB19" s="480"/>
      <c r="CC19" s="480"/>
      <c r="CD19" s="480"/>
      <c r="CE19" s="480"/>
      <c r="CF19" s="480"/>
      <c r="CG19" s="480"/>
      <c r="CH19" s="480"/>
      <c r="CI19" s="480"/>
      <c r="CJ19" s="480"/>
      <c r="CK19" s="480"/>
      <c r="CL19" s="480"/>
      <c r="CM19" s="480"/>
      <c r="CN19" s="480"/>
      <c r="CO19" s="480"/>
      <c r="CP19" s="480"/>
      <c r="CQ19" s="480"/>
      <c r="CR19" s="480"/>
      <c r="CS19" s="480"/>
      <c r="CT19" s="480"/>
      <c r="CU19" s="480"/>
      <c r="CV19" s="480"/>
      <c r="CW19" s="480"/>
      <c r="CX19" s="480"/>
      <c r="CY19" s="480"/>
      <c r="CZ19" s="480"/>
      <c r="DA19" s="480"/>
      <c r="DB19" s="480"/>
      <c r="DC19" s="480"/>
      <c r="DD19" s="480"/>
      <c r="DE19" s="480"/>
      <c r="DF19" s="480"/>
      <c r="DG19" s="480"/>
      <c r="DH19" s="480"/>
      <c r="DI19" s="480"/>
      <c r="DJ19" s="480"/>
      <c r="DK19" s="480"/>
      <c r="DL19" s="480"/>
      <c r="DM19" s="480"/>
      <c r="DN19" s="480"/>
      <c r="DO19" s="480"/>
      <c r="DP19" s="480"/>
      <c r="DQ19" s="480"/>
    </row>
    <row r="20" spans="1:121" s="479" customFormat="1" ht="24.95" customHeight="1" x14ac:dyDescent="0.25">
      <c r="A20" s="1287">
        <v>100</v>
      </c>
      <c r="B20" s="486">
        <v>2219</v>
      </c>
      <c r="C20" s="487"/>
      <c r="D20" s="1289"/>
      <c r="E20" s="488" t="s">
        <v>221</v>
      </c>
      <c r="F20" s="383" t="s">
        <v>127</v>
      </c>
      <c r="G20" s="111">
        <v>400</v>
      </c>
      <c r="H20" s="111">
        <v>2018</v>
      </c>
      <c r="I20" s="112">
        <v>2021</v>
      </c>
      <c r="J20" s="478">
        <f t="shared" si="0"/>
        <v>182300</v>
      </c>
      <c r="K20" s="463">
        <v>0</v>
      </c>
      <c r="L20" s="464">
        <v>0</v>
      </c>
      <c r="M20" s="465">
        <f t="shared" si="1"/>
        <v>0</v>
      </c>
      <c r="N20" s="466">
        <v>0</v>
      </c>
      <c r="O20" s="475">
        <f>300-300</f>
        <v>0</v>
      </c>
      <c r="P20" s="467">
        <v>0</v>
      </c>
      <c r="Q20" s="464">
        <v>0</v>
      </c>
      <c r="R20" s="469">
        <v>2300</v>
      </c>
      <c r="S20" s="467">
        <v>0</v>
      </c>
      <c r="T20" s="464">
        <v>0</v>
      </c>
      <c r="U20" s="469">
        <v>27000</v>
      </c>
      <c r="V20" s="467">
        <v>153000</v>
      </c>
      <c r="W20" s="464">
        <v>0</v>
      </c>
      <c r="X20" s="469">
        <v>0</v>
      </c>
      <c r="Y20" s="467">
        <v>0</v>
      </c>
      <c r="Z20" s="468">
        <v>0</v>
      </c>
      <c r="AA20" s="478">
        <v>0</v>
      </c>
      <c r="AB20" s="480"/>
      <c r="AC20" s="480"/>
      <c r="AD20" s="480"/>
      <c r="AE20" s="480"/>
      <c r="AF20" s="480"/>
      <c r="AG20" s="480"/>
      <c r="AH20" s="480"/>
      <c r="AI20" s="480"/>
      <c r="AJ20" s="480"/>
      <c r="AK20" s="480"/>
      <c r="AL20" s="480"/>
      <c r="AM20" s="480"/>
      <c r="AN20" s="480"/>
      <c r="AO20" s="480"/>
      <c r="AP20" s="480"/>
      <c r="AQ20" s="480"/>
      <c r="AR20" s="480"/>
      <c r="AS20" s="480"/>
      <c r="AT20" s="480"/>
      <c r="AU20" s="480"/>
      <c r="AV20" s="480"/>
      <c r="AW20" s="480"/>
      <c r="AX20" s="480"/>
      <c r="AY20" s="480"/>
      <c r="AZ20" s="480"/>
      <c r="BA20" s="480"/>
      <c r="BB20" s="480"/>
      <c r="BC20" s="480"/>
      <c r="BD20" s="480"/>
      <c r="BE20" s="480"/>
      <c r="BF20" s="480"/>
      <c r="BG20" s="480"/>
      <c r="BH20" s="480"/>
      <c r="BI20" s="480"/>
      <c r="BJ20" s="480"/>
      <c r="BK20" s="480"/>
      <c r="BL20" s="480"/>
      <c r="BM20" s="480"/>
      <c r="BN20" s="480"/>
      <c r="BO20" s="480"/>
      <c r="BP20" s="480"/>
      <c r="BQ20" s="480"/>
      <c r="BR20" s="480"/>
      <c r="BS20" s="480"/>
      <c r="BT20" s="480"/>
      <c r="BU20" s="480"/>
      <c r="BV20" s="480"/>
      <c r="BW20" s="480"/>
      <c r="BX20" s="480"/>
      <c r="BY20" s="480"/>
      <c r="BZ20" s="480"/>
      <c r="CA20" s="480"/>
      <c r="CB20" s="480"/>
      <c r="CC20" s="480"/>
      <c r="CD20" s="480"/>
      <c r="CE20" s="480"/>
      <c r="CF20" s="480"/>
      <c r="CG20" s="480"/>
      <c r="CH20" s="480"/>
      <c r="CI20" s="480"/>
      <c r="CJ20" s="480"/>
      <c r="CK20" s="480"/>
      <c r="CL20" s="480"/>
      <c r="CM20" s="480"/>
      <c r="CN20" s="480"/>
      <c r="CO20" s="480"/>
      <c r="CP20" s="480"/>
      <c r="CQ20" s="480"/>
      <c r="CR20" s="480"/>
      <c r="CS20" s="480"/>
      <c r="CT20" s="480"/>
      <c r="CU20" s="480"/>
      <c r="CV20" s="480"/>
      <c r="CW20" s="480"/>
      <c r="CX20" s="480"/>
      <c r="CY20" s="480"/>
      <c r="CZ20" s="480"/>
      <c r="DA20" s="480"/>
      <c r="DB20" s="480"/>
      <c r="DC20" s="480"/>
      <c r="DD20" s="480"/>
      <c r="DE20" s="480"/>
      <c r="DF20" s="480"/>
      <c r="DG20" s="480"/>
      <c r="DH20" s="480"/>
      <c r="DI20" s="480"/>
      <c r="DJ20" s="480"/>
      <c r="DK20" s="480"/>
      <c r="DL20" s="480"/>
      <c r="DM20" s="480"/>
      <c r="DN20" s="480"/>
      <c r="DO20" s="480"/>
      <c r="DP20" s="480"/>
      <c r="DQ20" s="480"/>
    </row>
    <row r="21" spans="1:121" s="479" customFormat="1" ht="24.95" customHeight="1" x14ac:dyDescent="0.25">
      <c r="A21" s="1287">
        <v>100</v>
      </c>
      <c r="B21" s="486">
        <v>2219</v>
      </c>
      <c r="C21" s="487"/>
      <c r="D21" s="1289"/>
      <c r="E21" s="488" t="s">
        <v>222</v>
      </c>
      <c r="F21" s="383" t="s">
        <v>127</v>
      </c>
      <c r="G21" s="111">
        <v>400</v>
      </c>
      <c r="H21" s="111">
        <v>2018</v>
      </c>
      <c r="I21" s="112">
        <v>2022</v>
      </c>
      <c r="J21" s="478">
        <f t="shared" si="0"/>
        <v>262300</v>
      </c>
      <c r="K21" s="463">
        <v>0</v>
      </c>
      <c r="L21" s="489">
        <v>0</v>
      </c>
      <c r="M21" s="465">
        <f t="shared" si="1"/>
        <v>0</v>
      </c>
      <c r="N21" s="466">
        <v>0</v>
      </c>
      <c r="O21" s="475">
        <f>300-300</f>
        <v>0</v>
      </c>
      <c r="P21" s="467">
        <v>0</v>
      </c>
      <c r="Q21" s="464">
        <v>0</v>
      </c>
      <c r="R21" s="469">
        <v>0</v>
      </c>
      <c r="S21" s="467">
        <v>0</v>
      </c>
      <c r="T21" s="464">
        <v>0</v>
      </c>
      <c r="U21" s="469">
        <v>2300</v>
      </c>
      <c r="V21" s="467">
        <v>0</v>
      </c>
      <c r="W21" s="464">
        <v>0</v>
      </c>
      <c r="X21" s="469">
        <v>39000</v>
      </c>
      <c r="Y21" s="467">
        <v>221000</v>
      </c>
      <c r="Z21" s="468">
        <v>0</v>
      </c>
      <c r="AA21" s="478">
        <v>0</v>
      </c>
      <c r="AB21" s="480"/>
      <c r="AC21" s="480"/>
      <c r="AD21" s="480"/>
      <c r="AE21" s="480"/>
      <c r="AF21" s="480"/>
      <c r="AG21" s="480"/>
      <c r="AH21" s="480"/>
      <c r="AI21" s="480"/>
      <c r="AJ21" s="480"/>
      <c r="AK21" s="480"/>
      <c r="AL21" s="480"/>
      <c r="AM21" s="480"/>
      <c r="AN21" s="480"/>
      <c r="AO21" s="480"/>
      <c r="AP21" s="480"/>
      <c r="AQ21" s="480"/>
      <c r="AR21" s="480"/>
      <c r="AS21" s="480"/>
      <c r="AT21" s="480"/>
      <c r="AU21" s="480"/>
      <c r="AV21" s="480"/>
      <c r="AW21" s="480"/>
      <c r="AX21" s="480"/>
      <c r="AY21" s="480"/>
      <c r="AZ21" s="480"/>
      <c r="BA21" s="480"/>
      <c r="BB21" s="480"/>
      <c r="BC21" s="480"/>
      <c r="BD21" s="480"/>
      <c r="BE21" s="480"/>
      <c r="BF21" s="480"/>
      <c r="BG21" s="480"/>
      <c r="BH21" s="480"/>
      <c r="BI21" s="480"/>
      <c r="BJ21" s="480"/>
      <c r="BK21" s="480"/>
      <c r="BL21" s="480"/>
      <c r="BM21" s="480"/>
      <c r="BN21" s="480"/>
      <c r="BO21" s="480"/>
      <c r="BP21" s="480"/>
      <c r="BQ21" s="480"/>
      <c r="BR21" s="480"/>
      <c r="BS21" s="480"/>
      <c r="BT21" s="480"/>
      <c r="BU21" s="480"/>
      <c r="BV21" s="480"/>
      <c r="BW21" s="480"/>
      <c r="BX21" s="480"/>
      <c r="BY21" s="480"/>
      <c r="BZ21" s="480"/>
      <c r="CA21" s="480"/>
      <c r="CB21" s="480"/>
      <c r="CC21" s="480"/>
      <c r="CD21" s="480"/>
      <c r="CE21" s="480"/>
      <c r="CF21" s="480"/>
      <c r="CG21" s="480"/>
      <c r="CH21" s="480"/>
      <c r="CI21" s="480"/>
      <c r="CJ21" s="480"/>
      <c r="CK21" s="480"/>
      <c r="CL21" s="480"/>
      <c r="CM21" s="480"/>
      <c r="CN21" s="480"/>
      <c r="CO21" s="480"/>
      <c r="CP21" s="480"/>
      <c r="CQ21" s="480"/>
      <c r="CR21" s="480"/>
      <c r="CS21" s="480"/>
      <c r="CT21" s="480"/>
      <c r="CU21" s="480"/>
      <c r="CV21" s="480"/>
      <c r="CW21" s="480"/>
      <c r="CX21" s="480"/>
      <c r="CY21" s="480"/>
      <c r="CZ21" s="480"/>
      <c r="DA21" s="480"/>
      <c r="DB21" s="480"/>
      <c r="DC21" s="480"/>
      <c r="DD21" s="480"/>
      <c r="DE21" s="480"/>
      <c r="DF21" s="480"/>
      <c r="DG21" s="480"/>
      <c r="DH21" s="480"/>
      <c r="DI21" s="480"/>
      <c r="DJ21" s="480"/>
      <c r="DK21" s="480"/>
      <c r="DL21" s="480"/>
      <c r="DM21" s="480"/>
      <c r="DN21" s="480"/>
      <c r="DO21" s="480"/>
      <c r="DP21" s="480"/>
      <c r="DQ21" s="480"/>
    </row>
    <row r="22" spans="1:121" s="125" customFormat="1" ht="24.95" customHeight="1" x14ac:dyDescent="0.25">
      <c r="A22" s="1290">
        <v>100</v>
      </c>
      <c r="B22" s="508">
        <v>2271</v>
      </c>
      <c r="C22" s="509"/>
      <c r="D22" s="108"/>
      <c r="E22" s="510" t="s">
        <v>224</v>
      </c>
      <c r="F22" s="383" t="s">
        <v>225</v>
      </c>
      <c r="G22" s="111">
        <v>411</v>
      </c>
      <c r="H22" s="111">
        <v>2019</v>
      </c>
      <c r="I22" s="112">
        <v>2023</v>
      </c>
      <c r="J22" s="113">
        <f t="shared" si="0"/>
        <v>380100</v>
      </c>
      <c r="K22" s="114">
        <v>0</v>
      </c>
      <c r="L22" s="115">
        <v>0</v>
      </c>
      <c r="M22" s="116">
        <f t="shared" si="1"/>
        <v>0</v>
      </c>
      <c r="N22" s="117">
        <v>0</v>
      </c>
      <c r="O22" s="475">
        <v>0</v>
      </c>
      <c r="P22" s="119">
        <v>0</v>
      </c>
      <c r="Q22" s="115">
        <v>0</v>
      </c>
      <c r="R22" s="470">
        <v>6900</v>
      </c>
      <c r="S22" s="119">
        <v>0</v>
      </c>
      <c r="T22" s="115">
        <v>0</v>
      </c>
      <c r="U22" s="470">
        <v>25890</v>
      </c>
      <c r="V22" s="119">
        <v>146710</v>
      </c>
      <c r="W22" s="115">
        <v>0</v>
      </c>
      <c r="X22" s="470">
        <v>25890</v>
      </c>
      <c r="Y22" s="119">
        <v>146710</v>
      </c>
      <c r="Z22" s="1183">
        <v>0</v>
      </c>
      <c r="AA22" s="113">
        <v>28000</v>
      </c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</row>
    <row r="23" spans="1:121" s="125" customFormat="1" ht="24.95" customHeight="1" x14ac:dyDescent="0.25">
      <c r="A23" s="1290">
        <v>100</v>
      </c>
      <c r="B23" s="508">
        <v>2271</v>
      </c>
      <c r="C23" s="509"/>
      <c r="D23" s="108"/>
      <c r="E23" s="511" t="s">
        <v>226</v>
      </c>
      <c r="F23" s="512" t="s">
        <v>127</v>
      </c>
      <c r="G23" s="111">
        <v>411</v>
      </c>
      <c r="H23" s="111">
        <v>2020</v>
      </c>
      <c r="I23" s="112">
        <v>2021</v>
      </c>
      <c r="J23" s="113">
        <f t="shared" si="0"/>
        <v>113850</v>
      </c>
      <c r="K23" s="114">
        <v>0</v>
      </c>
      <c r="L23" s="115">
        <v>0</v>
      </c>
      <c r="M23" s="116">
        <f t="shared" si="1"/>
        <v>0</v>
      </c>
      <c r="N23" s="117">
        <v>0</v>
      </c>
      <c r="O23" s="475">
        <f>1000-1000</f>
        <v>0</v>
      </c>
      <c r="P23" s="119">
        <v>0</v>
      </c>
      <c r="Q23" s="115">
        <v>0</v>
      </c>
      <c r="R23" s="470">
        <v>14850</v>
      </c>
      <c r="S23" s="119">
        <v>84150</v>
      </c>
      <c r="T23" s="115">
        <v>0</v>
      </c>
      <c r="U23" s="470">
        <v>4850</v>
      </c>
      <c r="V23" s="119">
        <v>10000</v>
      </c>
      <c r="W23" s="115">
        <v>0</v>
      </c>
      <c r="X23" s="470">
        <v>0</v>
      </c>
      <c r="Y23" s="119">
        <v>0</v>
      </c>
      <c r="Z23" s="1183">
        <v>0</v>
      </c>
      <c r="AA23" s="113">
        <v>0</v>
      </c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</row>
    <row r="24" spans="1:121" s="125" customFormat="1" ht="24.95" customHeight="1" x14ac:dyDescent="0.25">
      <c r="A24" s="1290">
        <v>100</v>
      </c>
      <c r="B24" s="508">
        <v>2271</v>
      </c>
      <c r="C24" s="509"/>
      <c r="D24" s="108"/>
      <c r="E24" s="511" t="s">
        <v>227</v>
      </c>
      <c r="F24" s="513"/>
      <c r="G24" s="111">
        <v>411</v>
      </c>
      <c r="H24" s="111">
        <v>2017</v>
      </c>
      <c r="I24" s="112">
        <v>2020</v>
      </c>
      <c r="J24" s="113">
        <f t="shared" si="0"/>
        <v>40000</v>
      </c>
      <c r="K24" s="114">
        <v>0</v>
      </c>
      <c r="L24" s="115">
        <v>0</v>
      </c>
      <c r="M24" s="116">
        <f t="shared" si="1"/>
        <v>0</v>
      </c>
      <c r="N24" s="117">
        <v>0</v>
      </c>
      <c r="O24" s="475">
        <f>3000-3000</f>
        <v>0</v>
      </c>
      <c r="P24" s="119">
        <v>0</v>
      </c>
      <c r="Q24" s="115">
        <v>0</v>
      </c>
      <c r="R24" s="470">
        <v>6000</v>
      </c>
      <c r="S24" s="119">
        <v>34000</v>
      </c>
      <c r="T24" s="115">
        <v>0</v>
      </c>
      <c r="U24" s="470">
        <v>0</v>
      </c>
      <c r="V24" s="119">
        <v>0</v>
      </c>
      <c r="W24" s="115">
        <v>0</v>
      </c>
      <c r="X24" s="470">
        <v>0</v>
      </c>
      <c r="Y24" s="119">
        <v>0</v>
      </c>
      <c r="Z24" s="1183">
        <v>0</v>
      </c>
      <c r="AA24" s="113">
        <v>0</v>
      </c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</row>
    <row r="25" spans="1:121" s="125" customFormat="1" ht="27.75" customHeight="1" x14ac:dyDescent="0.25">
      <c r="A25" s="1290">
        <v>100</v>
      </c>
      <c r="B25" s="508">
        <v>2271</v>
      </c>
      <c r="C25" s="509"/>
      <c r="D25" s="108"/>
      <c r="E25" s="511" t="s">
        <v>228</v>
      </c>
      <c r="F25" s="383"/>
      <c r="G25" s="111">
        <v>411</v>
      </c>
      <c r="H25" s="111">
        <v>2018</v>
      </c>
      <c r="I25" s="112">
        <v>2021</v>
      </c>
      <c r="J25" s="113">
        <f t="shared" si="0"/>
        <v>15000</v>
      </c>
      <c r="K25" s="114">
        <v>0</v>
      </c>
      <c r="L25" s="115">
        <v>0</v>
      </c>
      <c r="M25" s="116">
        <f t="shared" si="1"/>
        <v>0</v>
      </c>
      <c r="N25" s="117">
        <v>0</v>
      </c>
      <c r="O25" s="475">
        <f>5000-5000</f>
        <v>0</v>
      </c>
      <c r="P25" s="119">
        <v>0</v>
      </c>
      <c r="Q25" s="115">
        <v>0</v>
      </c>
      <c r="R25" s="470">
        <v>10000</v>
      </c>
      <c r="S25" s="119">
        <v>0</v>
      </c>
      <c r="T25" s="115">
        <v>0</v>
      </c>
      <c r="U25" s="470">
        <v>5000</v>
      </c>
      <c r="V25" s="119">
        <v>0</v>
      </c>
      <c r="W25" s="115">
        <v>0</v>
      </c>
      <c r="X25" s="470">
        <v>0</v>
      </c>
      <c r="Y25" s="119">
        <v>0</v>
      </c>
      <c r="Z25" s="1183">
        <v>0</v>
      </c>
      <c r="AA25" s="113">
        <v>0</v>
      </c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</row>
    <row r="26" spans="1:121" s="125" customFormat="1" ht="30.75" customHeight="1" x14ac:dyDescent="0.25">
      <c r="A26" s="1290">
        <v>100</v>
      </c>
      <c r="B26" s="508">
        <v>2271</v>
      </c>
      <c r="C26" s="509"/>
      <c r="D26" s="108"/>
      <c r="E26" s="514" t="s">
        <v>229</v>
      </c>
      <c r="F26" s="383"/>
      <c r="G26" s="111">
        <v>411</v>
      </c>
      <c r="H26" s="111">
        <v>2019</v>
      </c>
      <c r="I26" s="112">
        <v>2021</v>
      </c>
      <c r="J26" s="113">
        <f t="shared" si="0"/>
        <v>35000</v>
      </c>
      <c r="K26" s="114">
        <v>0</v>
      </c>
      <c r="L26" s="115">
        <v>0</v>
      </c>
      <c r="M26" s="116">
        <f t="shared" si="1"/>
        <v>0</v>
      </c>
      <c r="N26" s="117">
        <v>0</v>
      </c>
      <c r="O26" s="475">
        <f>15000-15000</f>
        <v>0</v>
      </c>
      <c r="P26" s="119">
        <v>0</v>
      </c>
      <c r="Q26" s="115">
        <f>15000-15000</f>
        <v>0</v>
      </c>
      <c r="R26" s="470">
        <v>15000</v>
      </c>
      <c r="S26" s="119">
        <v>0</v>
      </c>
      <c r="T26" s="115">
        <v>0</v>
      </c>
      <c r="U26" s="470">
        <v>20000</v>
      </c>
      <c r="V26" s="119">
        <v>0</v>
      </c>
      <c r="W26" s="115">
        <v>0</v>
      </c>
      <c r="X26" s="470">
        <v>0</v>
      </c>
      <c r="Y26" s="119">
        <v>0</v>
      </c>
      <c r="Z26" s="1183">
        <v>0</v>
      </c>
      <c r="AA26" s="113">
        <v>0</v>
      </c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</row>
    <row r="27" spans="1:121" s="125" customFormat="1" ht="27.75" customHeight="1" x14ac:dyDescent="0.25">
      <c r="A27" s="1290">
        <v>100</v>
      </c>
      <c r="B27" s="508">
        <v>2271</v>
      </c>
      <c r="C27" s="509"/>
      <c r="D27" s="108"/>
      <c r="E27" s="514" t="s">
        <v>230</v>
      </c>
      <c r="F27" s="515" t="s">
        <v>121</v>
      </c>
      <c r="G27" s="483">
        <v>411</v>
      </c>
      <c r="H27" s="483">
        <v>2019</v>
      </c>
      <c r="I27" s="484">
        <v>2023</v>
      </c>
      <c r="J27" s="113">
        <f t="shared" si="0"/>
        <v>500000</v>
      </c>
      <c r="K27" s="114">
        <v>0</v>
      </c>
      <c r="L27" s="115">
        <v>0</v>
      </c>
      <c r="M27" s="116">
        <f t="shared" si="1"/>
        <v>0</v>
      </c>
      <c r="N27" s="117">
        <v>0</v>
      </c>
      <c r="O27" s="475">
        <v>0</v>
      </c>
      <c r="P27" s="119">
        <v>0</v>
      </c>
      <c r="Q27" s="115">
        <v>0</v>
      </c>
      <c r="R27" s="470">
        <v>1000</v>
      </c>
      <c r="S27" s="119">
        <v>0</v>
      </c>
      <c r="T27" s="115">
        <v>0</v>
      </c>
      <c r="U27" s="470">
        <v>2000</v>
      </c>
      <c r="V27" s="119">
        <v>0</v>
      </c>
      <c r="W27" s="115">
        <v>0</v>
      </c>
      <c r="X27" s="470">
        <f>300000-150000</f>
        <v>150000</v>
      </c>
      <c r="Y27" s="119">
        <v>0</v>
      </c>
      <c r="Z27" s="1183">
        <v>0</v>
      </c>
      <c r="AA27" s="113">
        <f>197000+150000</f>
        <v>347000</v>
      </c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</row>
    <row r="28" spans="1:121" s="125" customFormat="1" ht="24.95" customHeight="1" x14ac:dyDescent="0.25">
      <c r="A28" s="1290">
        <v>100</v>
      </c>
      <c r="B28" s="508">
        <v>2271</v>
      </c>
      <c r="C28" s="509"/>
      <c r="D28" s="108"/>
      <c r="E28" s="514" t="s">
        <v>231</v>
      </c>
      <c r="F28" s="383"/>
      <c r="G28" s="111">
        <v>411</v>
      </c>
      <c r="H28" s="111">
        <v>2019</v>
      </c>
      <c r="I28" s="112">
        <v>2020</v>
      </c>
      <c r="J28" s="113">
        <f t="shared" si="0"/>
        <v>25000</v>
      </c>
      <c r="K28" s="114">
        <v>0</v>
      </c>
      <c r="L28" s="115">
        <v>0</v>
      </c>
      <c r="M28" s="116">
        <f t="shared" si="1"/>
        <v>0</v>
      </c>
      <c r="N28" s="117">
        <v>0</v>
      </c>
      <c r="O28" s="475">
        <f>25000-25000</f>
        <v>0</v>
      </c>
      <c r="P28" s="119">
        <v>0</v>
      </c>
      <c r="Q28" s="115">
        <f>25000-25000</f>
        <v>0</v>
      </c>
      <c r="R28" s="470">
        <v>25000</v>
      </c>
      <c r="S28" s="119">
        <v>0</v>
      </c>
      <c r="T28" s="115">
        <v>0</v>
      </c>
      <c r="U28" s="470">
        <v>0</v>
      </c>
      <c r="V28" s="119">
        <v>0</v>
      </c>
      <c r="W28" s="115">
        <v>0</v>
      </c>
      <c r="X28" s="470">
        <v>0</v>
      </c>
      <c r="Y28" s="119">
        <v>0</v>
      </c>
      <c r="Z28" s="1183">
        <v>0</v>
      </c>
      <c r="AA28" s="113">
        <v>0</v>
      </c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</row>
    <row r="29" spans="1:121" s="125" customFormat="1" ht="24.95" customHeight="1" x14ac:dyDescent="0.25">
      <c r="A29" s="1290">
        <v>100</v>
      </c>
      <c r="B29" s="508">
        <v>2271</v>
      </c>
      <c r="C29" s="509"/>
      <c r="D29" s="108"/>
      <c r="E29" s="514" t="s">
        <v>232</v>
      </c>
      <c r="F29" s="383"/>
      <c r="G29" s="111">
        <v>411</v>
      </c>
      <c r="H29" s="111">
        <v>2018</v>
      </c>
      <c r="I29" s="112">
        <v>2020</v>
      </c>
      <c r="J29" s="113">
        <f t="shared" si="0"/>
        <v>15000</v>
      </c>
      <c r="K29" s="114">
        <v>0</v>
      </c>
      <c r="L29" s="115">
        <v>5000</v>
      </c>
      <c r="M29" s="116">
        <f t="shared" si="1"/>
        <v>0</v>
      </c>
      <c r="N29" s="117">
        <v>0</v>
      </c>
      <c r="O29" s="475">
        <f>7500-7500</f>
        <v>0</v>
      </c>
      <c r="P29" s="119">
        <v>0</v>
      </c>
      <c r="Q29" s="115">
        <v>0</v>
      </c>
      <c r="R29" s="470">
        <v>10000</v>
      </c>
      <c r="S29" s="119">
        <v>0</v>
      </c>
      <c r="T29" s="115">
        <v>0</v>
      </c>
      <c r="U29" s="470">
        <v>0</v>
      </c>
      <c r="V29" s="119">
        <v>0</v>
      </c>
      <c r="W29" s="115">
        <v>0</v>
      </c>
      <c r="X29" s="470">
        <v>0</v>
      </c>
      <c r="Y29" s="119">
        <v>0</v>
      </c>
      <c r="Z29" s="1183">
        <v>0</v>
      </c>
      <c r="AA29" s="113">
        <v>0</v>
      </c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</row>
    <row r="30" spans="1:121" s="125" customFormat="1" ht="24.95" customHeight="1" x14ac:dyDescent="0.25">
      <c r="A30" s="1290">
        <v>100</v>
      </c>
      <c r="B30" s="508">
        <v>2271</v>
      </c>
      <c r="C30" s="509"/>
      <c r="D30" s="611"/>
      <c r="E30" s="514" t="s">
        <v>233</v>
      </c>
      <c r="F30" s="516"/>
      <c r="G30" s="111">
        <v>411</v>
      </c>
      <c r="H30" s="111">
        <v>2018</v>
      </c>
      <c r="I30" s="112">
        <v>2019</v>
      </c>
      <c r="J30" s="113">
        <f t="shared" si="0"/>
        <v>25000</v>
      </c>
      <c r="K30" s="114">
        <v>0</v>
      </c>
      <c r="L30" s="115">
        <v>0</v>
      </c>
      <c r="M30" s="116">
        <f t="shared" si="1"/>
        <v>0</v>
      </c>
      <c r="N30" s="117">
        <v>0</v>
      </c>
      <c r="O30" s="475">
        <f>1000-1000</f>
        <v>0</v>
      </c>
      <c r="P30" s="119">
        <v>0</v>
      </c>
      <c r="Q30" s="115">
        <v>0</v>
      </c>
      <c r="R30" s="470">
        <v>25000</v>
      </c>
      <c r="S30" s="119">
        <v>0</v>
      </c>
      <c r="T30" s="115">
        <v>0</v>
      </c>
      <c r="U30" s="470">
        <v>0</v>
      </c>
      <c r="V30" s="119">
        <v>0</v>
      </c>
      <c r="W30" s="115">
        <v>0</v>
      </c>
      <c r="X30" s="470">
        <v>0</v>
      </c>
      <c r="Y30" s="119">
        <v>0</v>
      </c>
      <c r="Z30" s="1183">
        <v>0</v>
      </c>
      <c r="AA30" s="113">
        <v>0</v>
      </c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</row>
    <row r="31" spans="1:121" s="125" customFormat="1" ht="27.75" customHeight="1" thickBot="1" x14ac:dyDescent="0.3">
      <c r="A31" s="1291">
        <v>100</v>
      </c>
      <c r="B31" s="1292">
        <v>2271</v>
      </c>
      <c r="C31" s="1293"/>
      <c r="D31" s="647"/>
      <c r="E31" s="517" t="s">
        <v>234</v>
      </c>
      <c r="F31" s="518"/>
      <c r="G31" s="519">
        <v>411</v>
      </c>
      <c r="H31" s="519">
        <v>2018</v>
      </c>
      <c r="I31" s="520">
        <v>2022</v>
      </c>
      <c r="J31" s="521">
        <f t="shared" si="0"/>
        <v>128000</v>
      </c>
      <c r="K31" s="522">
        <v>0</v>
      </c>
      <c r="L31" s="523">
        <v>0</v>
      </c>
      <c r="M31" s="524">
        <f t="shared" si="1"/>
        <v>0</v>
      </c>
      <c r="N31" s="525">
        <v>0</v>
      </c>
      <c r="O31" s="526">
        <v>0</v>
      </c>
      <c r="P31" s="527">
        <v>0</v>
      </c>
      <c r="Q31" s="523">
        <v>0</v>
      </c>
      <c r="R31" s="528">
        <v>28000</v>
      </c>
      <c r="S31" s="527">
        <v>100000</v>
      </c>
      <c r="T31" s="523">
        <v>0</v>
      </c>
      <c r="U31" s="528">
        <v>0</v>
      </c>
      <c r="V31" s="527">
        <v>0</v>
      </c>
      <c r="W31" s="523">
        <v>0</v>
      </c>
      <c r="X31" s="528">
        <v>0</v>
      </c>
      <c r="Y31" s="527">
        <v>0</v>
      </c>
      <c r="Z31" s="1184">
        <v>0</v>
      </c>
      <c r="AA31" s="521">
        <v>0</v>
      </c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</row>
    <row r="32" spans="1:121" ht="24.95" customHeight="1" thickBot="1" x14ac:dyDescent="0.3">
      <c r="D32" s="33"/>
      <c r="E32" s="1490" t="s">
        <v>25</v>
      </c>
      <c r="F32" s="1490"/>
      <c r="G32" s="1490"/>
      <c r="H32" s="1490"/>
      <c r="I32" s="1490"/>
      <c r="J32" s="1490"/>
      <c r="K32" s="1490"/>
      <c r="L32" s="1490"/>
      <c r="M32" s="36">
        <f t="shared" ref="M32:AA32" si="2">SUM(M9:M31)</f>
        <v>130874</v>
      </c>
      <c r="N32" s="36">
        <f t="shared" si="2"/>
        <v>0</v>
      </c>
      <c r="O32" s="36">
        <f t="shared" si="2"/>
        <v>52449</v>
      </c>
      <c r="P32" s="36">
        <f t="shared" si="2"/>
        <v>78425</v>
      </c>
      <c r="Q32" s="36">
        <f t="shared" si="2"/>
        <v>0</v>
      </c>
      <c r="R32" s="36">
        <f t="shared" si="2"/>
        <v>213940</v>
      </c>
      <c r="S32" s="36">
        <f t="shared" si="2"/>
        <v>235150</v>
      </c>
      <c r="T32" s="36">
        <f t="shared" si="2"/>
        <v>0</v>
      </c>
      <c r="U32" s="36">
        <f t="shared" si="2"/>
        <v>320112</v>
      </c>
      <c r="V32" s="36">
        <f t="shared" si="2"/>
        <v>1630395</v>
      </c>
      <c r="W32" s="36">
        <f t="shared" si="2"/>
        <v>0</v>
      </c>
      <c r="X32" s="36">
        <f t="shared" si="2"/>
        <v>483204</v>
      </c>
      <c r="Y32" s="36">
        <f t="shared" si="2"/>
        <v>1888156</v>
      </c>
      <c r="Z32" s="1172">
        <f t="shared" si="2"/>
        <v>0</v>
      </c>
      <c r="AA32" s="1185">
        <f t="shared" si="2"/>
        <v>1466750</v>
      </c>
    </row>
    <row r="33" spans="1:121" ht="24.95" customHeight="1" thickBot="1" x14ac:dyDescent="0.25">
      <c r="D33" s="33"/>
      <c r="E33" s="2"/>
      <c r="F33" s="33"/>
      <c r="G33" s="33"/>
      <c r="H33" s="33"/>
      <c r="I33" s="33"/>
      <c r="J33" s="33"/>
      <c r="K33" s="33"/>
      <c r="L33" s="33"/>
    </row>
    <row r="34" spans="1:121" s="803" customFormat="1" ht="29.25" customHeight="1" thickBot="1" x14ac:dyDescent="0.3">
      <c r="A34" s="801">
        <v>137</v>
      </c>
      <c r="B34" s="802">
        <v>3639</v>
      </c>
      <c r="C34" s="858">
        <v>6130</v>
      </c>
      <c r="D34" s="1324"/>
      <c r="E34" s="1325" t="s">
        <v>509</v>
      </c>
      <c r="F34" s="1326"/>
      <c r="G34" s="1304">
        <v>400</v>
      </c>
      <c r="H34" s="1304">
        <v>2019</v>
      </c>
      <c r="I34" s="1327">
        <v>2019</v>
      </c>
      <c r="J34" s="671">
        <f>K34+L34+M34+SUM(R34:AA34)</f>
        <v>120000</v>
      </c>
      <c r="K34" s="672">
        <v>0</v>
      </c>
      <c r="L34" s="673">
        <v>0</v>
      </c>
      <c r="M34" s="674">
        <f>N34+O34+P34+Q34</f>
        <v>120000</v>
      </c>
      <c r="N34" s="675">
        <v>120000</v>
      </c>
      <c r="O34" s="1328">
        <v>0</v>
      </c>
      <c r="P34" s="677">
        <v>0</v>
      </c>
      <c r="Q34" s="673">
        <v>0</v>
      </c>
      <c r="R34" s="678">
        <v>0</v>
      </c>
      <c r="S34" s="1329">
        <v>0</v>
      </c>
      <c r="T34" s="673">
        <v>0</v>
      </c>
      <c r="U34" s="851">
        <v>0</v>
      </c>
      <c r="V34" s="677">
        <v>0</v>
      </c>
      <c r="W34" s="673">
        <v>0</v>
      </c>
      <c r="X34" s="1330">
        <v>0</v>
      </c>
      <c r="Y34" s="677">
        <v>0</v>
      </c>
      <c r="Z34" s="673">
        <v>0</v>
      </c>
      <c r="AA34" s="1186">
        <v>0</v>
      </c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</row>
    <row r="35" spans="1:121" ht="24.95" customHeight="1" thickBot="1" x14ac:dyDescent="0.3">
      <c r="D35" s="33"/>
      <c r="E35" s="1491" t="s">
        <v>506</v>
      </c>
      <c r="F35" s="1490"/>
      <c r="G35" s="1490"/>
      <c r="H35" s="1490"/>
      <c r="I35" s="1490"/>
      <c r="J35" s="1490"/>
      <c r="K35" s="1490"/>
      <c r="L35" s="1490"/>
      <c r="M35" s="22">
        <f>SUM(M34)</f>
        <v>120000</v>
      </c>
      <c r="N35" s="22">
        <f t="shared" ref="N35:AA35" si="3">SUM(N34)</f>
        <v>120000</v>
      </c>
      <c r="O35" s="22">
        <f t="shared" si="3"/>
        <v>0</v>
      </c>
      <c r="P35" s="22">
        <f t="shared" si="3"/>
        <v>0</v>
      </c>
      <c r="Q35" s="22">
        <f t="shared" si="3"/>
        <v>0</v>
      </c>
      <c r="R35" s="22">
        <f t="shared" si="3"/>
        <v>0</v>
      </c>
      <c r="S35" s="22">
        <f t="shared" si="3"/>
        <v>0</v>
      </c>
      <c r="T35" s="22">
        <f t="shared" si="3"/>
        <v>0</v>
      </c>
      <c r="U35" s="22">
        <f t="shared" si="3"/>
        <v>0</v>
      </c>
      <c r="V35" s="22">
        <f t="shared" si="3"/>
        <v>0</v>
      </c>
      <c r="W35" s="22">
        <f t="shared" si="3"/>
        <v>0</v>
      </c>
      <c r="X35" s="22">
        <f t="shared" si="3"/>
        <v>0</v>
      </c>
      <c r="Y35" s="22">
        <f t="shared" si="3"/>
        <v>0</v>
      </c>
      <c r="Z35" s="22">
        <f t="shared" si="3"/>
        <v>0</v>
      </c>
      <c r="AA35" s="1187">
        <f t="shared" si="3"/>
        <v>0</v>
      </c>
    </row>
    <row r="36" spans="1:121" ht="24.95" customHeight="1" thickBot="1" x14ac:dyDescent="0.25">
      <c r="D36" s="33"/>
      <c r="E36" s="2"/>
      <c r="F36" s="33"/>
      <c r="G36" s="33"/>
      <c r="H36" s="33"/>
      <c r="I36" s="33"/>
      <c r="J36" s="33"/>
      <c r="K36" s="33"/>
      <c r="L36" s="33"/>
    </row>
    <row r="37" spans="1:121" s="26" customFormat="1" ht="28.5" customHeight="1" thickBot="1" x14ac:dyDescent="0.3">
      <c r="A37" s="831">
        <v>121</v>
      </c>
      <c r="B37" s="666">
        <v>5511</v>
      </c>
      <c r="C37" s="667">
        <v>6121</v>
      </c>
      <c r="D37" s="832"/>
      <c r="E37" s="833" t="s">
        <v>267</v>
      </c>
      <c r="F37" s="679"/>
      <c r="G37" s="669">
        <v>400</v>
      </c>
      <c r="H37" s="669">
        <v>2019</v>
      </c>
      <c r="I37" s="670">
        <v>2019</v>
      </c>
      <c r="J37" s="671">
        <f>K37+L37+M37+SUM(R37:AA37)</f>
        <v>16000</v>
      </c>
      <c r="K37" s="672">
        <v>0</v>
      </c>
      <c r="L37" s="673">
        <v>0</v>
      </c>
      <c r="M37" s="674">
        <f>N37+O37+P37+Q37</f>
        <v>0</v>
      </c>
      <c r="N37" s="675">
        <v>0</v>
      </c>
      <c r="O37" s="676">
        <f>16000-16000</f>
        <v>0</v>
      </c>
      <c r="P37" s="677">
        <v>0</v>
      </c>
      <c r="Q37" s="673">
        <f>16000-16000</f>
        <v>0</v>
      </c>
      <c r="R37" s="678">
        <v>16000</v>
      </c>
      <c r="S37" s="677">
        <v>0</v>
      </c>
      <c r="T37" s="673">
        <v>0</v>
      </c>
      <c r="U37" s="678">
        <v>0</v>
      </c>
      <c r="V37" s="677">
        <v>0</v>
      </c>
      <c r="W37" s="673">
        <v>0</v>
      </c>
      <c r="X37" s="678">
        <v>0</v>
      </c>
      <c r="Y37" s="677">
        <v>0</v>
      </c>
      <c r="Z37" s="673">
        <v>0</v>
      </c>
      <c r="AA37" s="1186">
        <v>0</v>
      </c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</row>
    <row r="38" spans="1:121" ht="24.95" customHeight="1" thickBot="1" x14ac:dyDescent="0.3">
      <c r="D38" s="33"/>
      <c r="E38" s="1491" t="s">
        <v>87</v>
      </c>
      <c r="F38" s="1490"/>
      <c r="G38" s="1490"/>
      <c r="H38" s="1490"/>
      <c r="I38" s="1490"/>
      <c r="J38" s="1490"/>
      <c r="K38" s="1490"/>
      <c r="L38" s="1490"/>
      <c r="M38" s="22">
        <f>SUM(M37)</f>
        <v>0</v>
      </c>
      <c r="N38" s="22">
        <f t="shared" ref="N38:AA38" si="4">SUM(N37)</f>
        <v>0</v>
      </c>
      <c r="O38" s="22">
        <f t="shared" si="4"/>
        <v>0</v>
      </c>
      <c r="P38" s="22">
        <f t="shared" si="4"/>
        <v>0</v>
      </c>
      <c r="Q38" s="22">
        <f t="shared" si="4"/>
        <v>0</v>
      </c>
      <c r="R38" s="22">
        <f t="shared" si="4"/>
        <v>16000</v>
      </c>
      <c r="S38" s="22">
        <f t="shared" si="4"/>
        <v>0</v>
      </c>
      <c r="T38" s="22">
        <f t="shared" si="4"/>
        <v>0</v>
      </c>
      <c r="U38" s="22">
        <f t="shared" si="4"/>
        <v>0</v>
      </c>
      <c r="V38" s="22">
        <f t="shared" si="4"/>
        <v>0</v>
      </c>
      <c r="W38" s="22">
        <f t="shared" si="4"/>
        <v>0</v>
      </c>
      <c r="X38" s="22">
        <f t="shared" si="4"/>
        <v>0</v>
      </c>
      <c r="Y38" s="22">
        <f t="shared" si="4"/>
        <v>0</v>
      </c>
      <c r="Z38" s="22">
        <f t="shared" si="4"/>
        <v>0</v>
      </c>
      <c r="AA38" s="1187">
        <f t="shared" si="4"/>
        <v>0</v>
      </c>
    </row>
    <row r="39" spans="1:121" ht="24.95" customHeight="1" thickBot="1" x14ac:dyDescent="0.25">
      <c r="D39" s="689"/>
      <c r="E39" s="1216"/>
      <c r="F39" s="689"/>
      <c r="G39" s="689"/>
      <c r="H39" s="689"/>
      <c r="I39" s="689"/>
      <c r="J39" s="689"/>
      <c r="K39" s="689"/>
      <c r="L39" s="689"/>
      <c r="M39" s="688"/>
      <c r="N39" s="688"/>
      <c r="O39" s="688"/>
      <c r="P39" s="688"/>
      <c r="Q39" s="688"/>
      <c r="R39" s="688"/>
      <c r="S39" s="688"/>
      <c r="T39" s="688"/>
      <c r="U39" s="688"/>
      <c r="V39" s="688"/>
      <c r="W39" s="688"/>
      <c r="X39" s="688"/>
      <c r="Y39" s="688"/>
      <c r="Z39" s="688"/>
      <c r="AA39" s="688"/>
    </row>
    <row r="40" spans="1:121" s="23" customFormat="1" ht="24.95" customHeight="1" x14ac:dyDescent="0.25">
      <c r="A40" s="476">
        <v>130</v>
      </c>
      <c r="B40" s="718">
        <v>6171</v>
      </c>
      <c r="C40" s="481"/>
      <c r="D40" s="1281">
        <v>5044</v>
      </c>
      <c r="E40" s="834" t="s">
        <v>268</v>
      </c>
      <c r="F40" s="835"/>
      <c r="G40" s="836">
        <v>400</v>
      </c>
      <c r="H40" s="607">
        <v>2019</v>
      </c>
      <c r="I40" s="837">
        <v>2019</v>
      </c>
      <c r="J40" s="462">
        <f>K40+L40+M40+SUM(R40:AA40)</f>
        <v>24830</v>
      </c>
      <c r="K40" s="463">
        <v>0</v>
      </c>
      <c r="L40" s="464">
        <v>0</v>
      </c>
      <c r="M40" s="465">
        <f>N40+O40+P40+Q40</f>
        <v>24830</v>
      </c>
      <c r="N40" s="466">
        <v>3000</v>
      </c>
      <c r="O40" s="838">
        <f>22300-3000-1900</f>
        <v>17400</v>
      </c>
      <c r="P40" s="467">
        <v>0</v>
      </c>
      <c r="Q40" s="839">
        <v>4430</v>
      </c>
      <c r="R40" s="840">
        <v>0</v>
      </c>
      <c r="S40" s="467">
        <v>0</v>
      </c>
      <c r="T40" s="464">
        <v>0</v>
      </c>
      <c r="U40" s="505">
        <v>0</v>
      </c>
      <c r="V40" s="467">
        <v>0</v>
      </c>
      <c r="W40" s="464">
        <v>0</v>
      </c>
      <c r="X40" s="505">
        <v>0</v>
      </c>
      <c r="Y40" s="467">
        <v>0</v>
      </c>
      <c r="Z40" s="464">
        <v>0</v>
      </c>
      <c r="AA40" s="982">
        <v>0</v>
      </c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/>
      <c r="BN40" s="25"/>
      <c r="BO40" s="25"/>
      <c r="BP40" s="25"/>
      <c r="BQ40" s="25"/>
      <c r="BR40" s="25"/>
      <c r="BS40" s="25"/>
      <c r="BT40" s="25"/>
      <c r="BU40" s="25"/>
      <c r="BV40" s="25"/>
      <c r="BW40" s="25"/>
      <c r="BX40" s="25"/>
      <c r="BY40" s="25"/>
      <c r="BZ40" s="25"/>
      <c r="CA40" s="25"/>
      <c r="CB40" s="25"/>
      <c r="CC40" s="25"/>
      <c r="CD40" s="25"/>
      <c r="CE40" s="25"/>
      <c r="CF40" s="25"/>
      <c r="CG40" s="25"/>
      <c r="CH40" s="25"/>
      <c r="CI40" s="25"/>
      <c r="CJ40" s="25"/>
      <c r="CK40" s="25"/>
      <c r="CL40" s="25"/>
      <c r="CM40" s="25"/>
      <c r="CN40" s="25"/>
      <c r="CO40" s="25"/>
      <c r="CP40" s="25"/>
      <c r="CQ40" s="25"/>
      <c r="CR40" s="25"/>
      <c r="CS40" s="25"/>
      <c r="CT40" s="25"/>
      <c r="CU40" s="25"/>
      <c r="CV40" s="25"/>
      <c r="CW40" s="25"/>
      <c r="CX40" s="25"/>
      <c r="CY40" s="25"/>
      <c r="CZ40" s="25"/>
      <c r="DA40" s="25"/>
      <c r="DB40" s="25"/>
      <c r="DC40" s="25"/>
      <c r="DD40" s="25"/>
      <c r="DE40" s="25"/>
      <c r="DF40" s="25"/>
      <c r="DG40" s="25"/>
      <c r="DH40" s="25"/>
      <c r="DI40" s="25"/>
      <c r="DJ40" s="25"/>
      <c r="DK40" s="25"/>
      <c r="DL40" s="25"/>
      <c r="DM40" s="25"/>
      <c r="DN40" s="25"/>
      <c r="DO40" s="25"/>
      <c r="DP40" s="25"/>
      <c r="DQ40" s="25"/>
    </row>
    <row r="41" spans="1:121" s="23" customFormat="1" ht="24.95" customHeight="1" x14ac:dyDescent="0.25">
      <c r="A41" s="476">
        <v>130</v>
      </c>
      <c r="B41" s="718">
        <v>6171</v>
      </c>
      <c r="C41" s="481"/>
      <c r="D41" s="624"/>
      <c r="E41" s="834" t="s">
        <v>268</v>
      </c>
      <c r="F41" s="841"/>
      <c r="G41" s="842">
        <v>400</v>
      </c>
      <c r="H41" s="607">
        <v>2019</v>
      </c>
      <c r="I41" s="837">
        <v>2020</v>
      </c>
      <c r="J41" s="462">
        <f>K41+L41+M41+SUM(R41:AA41)</f>
        <v>3545</v>
      </c>
      <c r="K41" s="463"/>
      <c r="L41" s="464"/>
      <c r="M41" s="465">
        <f>N41+O41+P41+Q41</f>
        <v>3545</v>
      </c>
      <c r="N41" s="466">
        <v>3545</v>
      </c>
      <c r="O41" s="838">
        <v>0</v>
      </c>
      <c r="P41" s="467">
        <v>0</v>
      </c>
      <c r="Q41" s="839">
        <v>0</v>
      </c>
      <c r="R41" s="840">
        <v>0</v>
      </c>
      <c r="S41" s="467">
        <v>0</v>
      </c>
      <c r="T41" s="464">
        <v>0</v>
      </c>
      <c r="U41" s="505">
        <v>0</v>
      </c>
      <c r="V41" s="467">
        <v>0</v>
      </c>
      <c r="W41" s="464">
        <v>0</v>
      </c>
      <c r="X41" s="505">
        <v>0</v>
      </c>
      <c r="Y41" s="467">
        <v>0</v>
      </c>
      <c r="Z41" s="464">
        <v>0</v>
      </c>
      <c r="AA41" s="478">
        <v>0</v>
      </c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</row>
    <row r="42" spans="1:121" s="682" customFormat="1" ht="24.95" customHeight="1" thickBot="1" x14ac:dyDescent="0.3">
      <c r="A42" s="485">
        <v>130</v>
      </c>
      <c r="B42" s="610">
        <v>5311</v>
      </c>
      <c r="C42" s="31">
        <v>6122</v>
      </c>
      <c r="D42" s="1280">
        <v>6123</v>
      </c>
      <c r="E42" s="585" t="s">
        <v>266</v>
      </c>
      <c r="F42" s="821"/>
      <c r="G42" s="499">
        <v>400</v>
      </c>
      <c r="H42" s="822">
        <v>2019</v>
      </c>
      <c r="I42" s="823">
        <v>2019</v>
      </c>
      <c r="J42" s="473">
        <f>K42+L42+M42+SUM(R42:AA42)</f>
        <v>3260</v>
      </c>
      <c r="K42" s="824">
        <v>0</v>
      </c>
      <c r="L42" s="825">
        <v>0</v>
      </c>
      <c r="M42" s="474">
        <f>N42+O42+P42+Q42</f>
        <v>3260</v>
      </c>
      <c r="N42" s="826">
        <v>2610</v>
      </c>
      <c r="O42" s="752">
        <f>2610-2610</f>
        <v>0</v>
      </c>
      <c r="P42" s="753">
        <v>650</v>
      </c>
      <c r="Q42" s="825">
        <v>0</v>
      </c>
      <c r="R42" s="827">
        <v>0</v>
      </c>
      <c r="S42" s="828">
        <v>0</v>
      </c>
      <c r="T42" s="829">
        <v>0</v>
      </c>
      <c r="U42" s="827">
        <v>0</v>
      </c>
      <c r="V42" s="828">
        <v>0</v>
      </c>
      <c r="W42" s="829">
        <v>0</v>
      </c>
      <c r="X42" s="827">
        <v>0</v>
      </c>
      <c r="Y42" s="828">
        <v>0</v>
      </c>
      <c r="Z42" s="829">
        <v>0</v>
      </c>
      <c r="AA42" s="830">
        <v>0</v>
      </c>
      <c r="AB42" s="619"/>
      <c r="AC42" s="619"/>
      <c r="AD42" s="619"/>
      <c r="AE42" s="619"/>
      <c r="AF42" s="619"/>
      <c r="AG42" s="619"/>
      <c r="AH42" s="619"/>
      <c r="AI42" s="619"/>
      <c r="AJ42" s="619"/>
      <c r="AK42" s="619"/>
      <c r="AL42" s="619"/>
      <c r="AM42" s="619"/>
      <c r="AN42" s="619"/>
      <c r="AO42" s="619"/>
      <c r="AP42" s="619"/>
      <c r="AQ42" s="619"/>
      <c r="AR42" s="619"/>
      <c r="AS42" s="619"/>
      <c r="AT42" s="619"/>
      <c r="AU42" s="619"/>
      <c r="AV42" s="619"/>
      <c r="AW42" s="619"/>
      <c r="AX42" s="619"/>
      <c r="AY42" s="619"/>
      <c r="AZ42" s="619"/>
      <c r="BA42" s="619"/>
      <c r="BB42" s="619"/>
      <c r="BC42" s="619"/>
      <c r="BD42" s="619"/>
      <c r="BE42" s="619"/>
      <c r="BF42" s="619"/>
      <c r="BG42" s="619"/>
      <c r="BH42" s="619"/>
      <c r="BI42" s="619"/>
      <c r="BJ42" s="619"/>
      <c r="BK42" s="619"/>
      <c r="BL42" s="619"/>
      <c r="BM42" s="619"/>
      <c r="BN42" s="619"/>
      <c r="BO42" s="619"/>
      <c r="BP42" s="619"/>
      <c r="BQ42" s="619"/>
      <c r="BR42" s="619"/>
      <c r="BS42" s="619"/>
      <c r="BT42" s="619"/>
      <c r="BU42" s="619"/>
      <c r="BV42" s="619"/>
      <c r="BW42" s="619"/>
      <c r="BX42" s="619"/>
      <c r="BY42" s="619"/>
      <c r="BZ42" s="619"/>
      <c r="CA42" s="619"/>
      <c r="CB42" s="619"/>
      <c r="CC42" s="619"/>
      <c r="CD42" s="619"/>
      <c r="CE42" s="619"/>
      <c r="CF42" s="619"/>
      <c r="CG42" s="619"/>
      <c r="CH42" s="619"/>
      <c r="CI42" s="619"/>
      <c r="CJ42" s="619"/>
      <c r="CK42" s="619"/>
      <c r="CL42" s="619"/>
      <c r="CM42" s="619"/>
      <c r="CN42" s="619"/>
      <c r="CO42" s="619"/>
      <c r="CP42" s="619"/>
      <c r="CQ42" s="619"/>
      <c r="CR42" s="619"/>
      <c r="CS42" s="619"/>
      <c r="CT42" s="619"/>
      <c r="CU42" s="619"/>
      <c r="CV42" s="619"/>
      <c r="CW42" s="619"/>
      <c r="CX42" s="619"/>
      <c r="CY42" s="619"/>
      <c r="CZ42" s="619"/>
      <c r="DA42" s="619"/>
      <c r="DB42" s="619"/>
      <c r="DC42" s="619"/>
      <c r="DD42" s="619"/>
      <c r="DE42" s="619"/>
      <c r="DF42" s="619"/>
      <c r="DG42" s="619"/>
      <c r="DH42" s="619"/>
      <c r="DI42" s="619"/>
      <c r="DJ42" s="619"/>
      <c r="DK42" s="619"/>
      <c r="DL42" s="619"/>
      <c r="DM42" s="619"/>
      <c r="DN42" s="619"/>
      <c r="DO42" s="619"/>
      <c r="DP42" s="619"/>
      <c r="DQ42" s="619"/>
    </row>
    <row r="43" spans="1:121" ht="24.95" customHeight="1" thickBot="1" x14ac:dyDescent="0.3">
      <c r="D43" s="33"/>
      <c r="E43" s="1491" t="s">
        <v>26</v>
      </c>
      <c r="F43" s="1490"/>
      <c r="G43" s="1490"/>
      <c r="H43" s="1490"/>
      <c r="I43" s="1490"/>
      <c r="J43" s="1490"/>
      <c r="K43" s="1490"/>
      <c r="L43" s="1490"/>
      <c r="M43" s="36">
        <f>SUM(M40:M42)</f>
        <v>31635</v>
      </c>
      <c r="N43" s="36">
        <f t="shared" ref="N43:AA43" si="5">SUM(N40:N42)</f>
        <v>9155</v>
      </c>
      <c r="O43" s="36">
        <f t="shared" si="5"/>
        <v>17400</v>
      </c>
      <c r="P43" s="36">
        <f t="shared" si="5"/>
        <v>650</v>
      </c>
      <c r="Q43" s="36">
        <f t="shared" si="5"/>
        <v>4430</v>
      </c>
      <c r="R43" s="36">
        <f t="shared" si="5"/>
        <v>0</v>
      </c>
      <c r="S43" s="36">
        <f t="shared" si="5"/>
        <v>0</v>
      </c>
      <c r="T43" s="36">
        <f t="shared" si="5"/>
        <v>0</v>
      </c>
      <c r="U43" s="36">
        <f t="shared" si="5"/>
        <v>0</v>
      </c>
      <c r="V43" s="36">
        <f t="shared" si="5"/>
        <v>0</v>
      </c>
      <c r="W43" s="36">
        <f t="shared" si="5"/>
        <v>0</v>
      </c>
      <c r="X43" s="36">
        <f t="shared" si="5"/>
        <v>0</v>
      </c>
      <c r="Y43" s="36">
        <f t="shared" si="5"/>
        <v>0</v>
      </c>
      <c r="Z43" s="36">
        <f t="shared" si="5"/>
        <v>0</v>
      </c>
      <c r="AA43" s="1185">
        <f t="shared" si="5"/>
        <v>0</v>
      </c>
    </row>
    <row r="44" spans="1:121" s="688" customFormat="1" ht="24.95" customHeight="1" thickBot="1" x14ac:dyDescent="0.25">
      <c r="D44" s="689"/>
      <c r="E44" s="1216"/>
      <c r="F44" s="689"/>
      <c r="G44" s="689"/>
      <c r="H44" s="689"/>
      <c r="I44" s="689"/>
      <c r="J44" s="689"/>
      <c r="K44" s="689"/>
      <c r="L44" s="689"/>
      <c r="AB44" s="1179"/>
      <c r="AC44" s="1179"/>
      <c r="AD44" s="1179"/>
      <c r="AE44" s="1179"/>
      <c r="AF44" s="1179"/>
      <c r="AG44" s="1179"/>
      <c r="AH44" s="1179"/>
      <c r="AI44" s="1179"/>
      <c r="AJ44" s="1179"/>
      <c r="AK44" s="1179"/>
      <c r="AL44" s="1179"/>
      <c r="AM44" s="1179"/>
      <c r="AN44" s="1179"/>
      <c r="AO44" s="1179"/>
      <c r="AP44" s="1179"/>
      <c r="AQ44" s="1179"/>
      <c r="AR44" s="1179"/>
      <c r="AS44" s="1179"/>
      <c r="AT44" s="1179"/>
      <c r="AU44" s="1179"/>
      <c r="AV44" s="1179"/>
      <c r="AW44" s="1179"/>
      <c r="AX44" s="1179"/>
      <c r="AY44" s="1179"/>
      <c r="AZ44" s="1179"/>
      <c r="BA44" s="1179"/>
      <c r="BB44" s="1179"/>
      <c r="BC44" s="1179"/>
      <c r="BD44" s="1179"/>
      <c r="BE44" s="1179"/>
      <c r="BF44" s="1179"/>
      <c r="BG44" s="1179"/>
      <c r="BH44" s="1179"/>
      <c r="BI44" s="1179"/>
      <c r="BJ44" s="1179"/>
      <c r="BK44" s="1179"/>
      <c r="BL44" s="1179"/>
      <c r="BM44" s="1179"/>
      <c r="BN44" s="1179"/>
      <c r="BO44" s="1179"/>
      <c r="BP44" s="1179"/>
      <c r="BQ44" s="1179"/>
      <c r="BR44" s="1179"/>
      <c r="BS44" s="1179"/>
      <c r="BT44" s="1179"/>
      <c r="BU44" s="1179"/>
      <c r="BV44" s="1179"/>
      <c r="BW44" s="1179"/>
      <c r="BX44" s="1179"/>
      <c r="BY44" s="1179"/>
      <c r="BZ44" s="1179"/>
      <c r="CA44" s="1179"/>
      <c r="CB44" s="1179"/>
      <c r="CC44" s="1179"/>
      <c r="CD44" s="1179"/>
      <c r="CE44" s="1179"/>
      <c r="CF44" s="1179"/>
      <c r="CG44" s="1179"/>
      <c r="CH44" s="1179"/>
      <c r="CI44" s="1179"/>
      <c r="CJ44" s="1179"/>
      <c r="CK44" s="1179"/>
      <c r="CL44" s="1179"/>
      <c r="CM44" s="1179"/>
      <c r="CN44" s="1179"/>
      <c r="CO44" s="1179"/>
      <c r="CP44" s="1179"/>
      <c r="CQ44" s="1179"/>
      <c r="CR44" s="1179"/>
      <c r="CS44" s="1179"/>
      <c r="CT44" s="1179"/>
      <c r="CU44" s="1179"/>
      <c r="CV44" s="1179"/>
      <c r="CW44" s="1179"/>
      <c r="CX44" s="1179"/>
      <c r="CY44" s="1179"/>
      <c r="CZ44" s="1179"/>
      <c r="DA44" s="1179"/>
      <c r="DB44" s="1179"/>
      <c r="DC44" s="1179"/>
      <c r="DD44" s="1179"/>
      <c r="DE44" s="1179"/>
      <c r="DF44" s="1179"/>
      <c r="DG44" s="1179"/>
      <c r="DH44" s="1179"/>
      <c r="DI44" s="1179"/>
      <c r="DJ44" s="1179"/>
      <c r="DK44" s="1179"/>
      <c r="DL44" s="1179"/>
      <c r="DM44" s="1179"/>
      <c r="DN44" s="1179"/>
      <c r="DO44" s="1179"/>
      <c r="DP44" s="1179"/>
      <c r="DQ44" s="1179"/>
    </row>
    <row r="45" spans="1:121" s="857" customFormat="1" ht="24.95" customHeight="1" thickBot="1" x14ac:dyDescent="0.3">
      <c r="A45" s="854">
        <v>133</v>
      </c>
      <c r="B45" s="855">
        <v>6171</v>
      </c>
      <c r="C45" s="856"/>
      <c r="D45" s="843"/>
      <c r="E45" s="844" t="s">
        <v>270</v>
      </c>
      <c r="F45" s="806"/>
      <c r="G45" s="845">
        <v>400</v>
      </c>
      <c r="H45" s="846">
        <v>2019</v>
      </c>
      <c r="I45" s="847">
        <v>2020</v>
      </c>
      <c r="J45" s="671">
        <f>K45+L45+M45+SUM(R45:AA45)</f>
        <v>47630</v>
      </c>
      <c r="K45" s="672">
        <v>0</v>
      </c>
      <c r="L45" s="673">
        <v>0</v>
      </c>
      <c r="M45" s="674">
        <f>N45+O45+P45+Q45</f>
        <v>28450</v>
      </c>
      <c r="N45" s="675">
        <v>0</v>
      </c>
      <c r="O45" s="676">
        <f>30000-10000-500+8950</f>
        <v>28450</v>
      </c>
      <c r="P45" s="677">
        <v>0</v>
      </c>
      <c r="Q45" s="673">
        <v>0</v>
      </c>
      <c r="R45" s="851">
        <v>7760</v>
      </c>
      <c r="S45" s="677">
        <v>0</v>
      </c>
      <c r="T45" s="673">
        <v>0</v>
      </c>
      <c r="U45" s="851">
        <v>5460</v>
      </c>
      <c r="V45" s="677">
        <v>0</v>
      </c>
      <c r="W45" s="673">
        <v>0</v>
      </c>
      <c r="X45" s="851">
        <v>5960</v>
      </c>
      <c r="Y45" s="677">
        <v>0</v>
      </c>
      <c r="Z45" s="673">
        <v>0</v>
      </c>
      <c r="AA45" s="1186">
        <v>0</v>
      </c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  <c r="BZ45" s="25"/>
      <c r="CA45" s="25"/>
      <c r="CB45" s="25"/>
      <c r="CC45" s="25"/>
      <c r="CD45" s="25"/>
      <c r="CE45" s="25"/>
      <c r="CF45" s="25"/>
      <c r="CG45" s="25"/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25"/>
      <c r="CT45" s="25"/>
      <c r="CU45" s="25"/>
      <c r="CV45" s="25"/>
      <c r="CW45" s="25"/>
      <c r="CX45" s="25"/>
      <c r="CY45" s="25"/>
      <c r="CZ45" s="25"/>
      <c r="DA45" s="25"/>
      <c r="DB45" s="25"/>
      <c r="DC45" s="25"/>
      <c r="DD45" s="25"/>
      <c r="DE45" s="25"/>
      <c r="DF45" s="25"/>
      <c r="DG45" s="25"/>
      <c r="DH45" s="25"/>
      <c r="DI45" s="25"/>
      <c r="DJ45" s="25"/>
      <c r="DK45" s="25"/>
      <c r="DL45" s="25"/>
      <c r="DM45" s="25"/>
      <c r="DN45" s="25"/>
      <c r="DO45" s="25"/>
      <c r="DP45" s="25"/>
      <c r="DQ45" s="25"/>
    </row>
    <row r="46" spans="1:121" ht="24.95" customHeight="1" thickBot="1" x14ac:dyDescent="0.3">
      <c r="D46" s="33"/>
      <c r="E46" s="1490" t="s">
        <v>27</v>
      </c>
      <c r="F46" s="1490"/>
      <c r="G46" s="1490"/>
      <c r="H46" s="1490"/>
      <c r="I46" s="1490"/>
      <c r="J46" s="1490"/>
      <c r="K46" s="1490"/>
      <c r="L46" s="1490"/>
      <c r="M46" s="36">
        <f>SUM(M45)</f>
        <v>28450</v>
      </c>
      <c r="N46" s="36">
        <f t="shared" ref="N46:AA46" si="6">SUM(N45)</f>
        <v>0</v>
      </c>
      <c r="O46" s="36">
        <f t="shared" si="6"/>
        <v>28450</v>
      </c>
      <c r="P46" s="36">
        <f t="shared" si="6"/>
        <v>0</v>
      </c>
      <c r="Q46" s="36">
        <f t="shared" si="6"/>
        <v>0</v>
      </c>
      <c r="R46" s="36">
        <f t="shared" si="6"/>
        <v>7760</v>
      </c>
      <c r="S46" s="36">
        <f t="shared" si="6"/>
        <v>0</v>
      </c>
      <c r="T46" s="36">
        <f t="shared" si="6"/>
        <v>0</v>
      </c>
      <c r="U46" s="36">
        <f t="shared" si="6"/>
        <v>5460</v>
      </c>
      <c r="V46" s="36">
        <f t="shared" si="6"/>
        <v>0</v>
      </c>
      <c r="W46" s="36">
        <f t="shared" si="6"/>
        <v>0</v>
      </c>
      <c r="X46" s="36">
        <f t="shared" si="6"/>
        <v>5960</v>
      </c>
      <c r="Y46" s="36">
        <f t="shared" si="6"/>
        <v>0</v>
      </c>
      <c r="Z46" s="36">
        <f t="shared" si="6"/>
        <v>0</v>
      </c>
      <c r="AA46" s="1185">
        <f t="shared" si="6"/>
        <v>0</v>
      </c>
    </row>
    <row r="47" spans="1:121" ht="24.95" customHeight="1" thickBot="1" x14ac:dyDescent="0.25">
      <c r="D47" s="33"/>
      <c r="E47" s="2"/>
      <c r="F47" s="33"/>
      <c r="G47" s="33"/>
      <c r="H47" s="33"/>
      <c r="I47" s="33"/>
      <c r="J47" s="33"/>
      <c r="K47" s="33"/>
      <c r="L47" s="33"/>
    </row>
    <row r="48" spans="1:121" s="23" customFormat="1" ht="24.95" customHeight="1" thickBot="1" x14ac:dyDescent="0.3">
      <c r="A48" s="476">
        <v>134</v>
      </c>
      <c r="B48" s="718">
        <v>6171</v>
      </c>
      <c r="C48" s="481"/>
      <c r="D48" s="843"/>
      <c r="E48" s="844" t="s">
        <v>271</v>
      </c>
      <c r="F48" s="806"/>
      <c r="G48" s="845">
        <v>400</v>
      </c>
      <c r="H48" s="846">
        <v>2019</v>
      </c>
      <c r="I48" s="847">
        <v>2020</v>
      </c>
      <c r="J48" s="671">
        <f>K48+L48+M48+SUM(R48:AA48)</f>
        <v>250</v>
      </c>
      <c r="K48" s="672">
        <v>0</v>
      </c>
      <c r="L48" s="673">
        <v>0</v>
      </c>
      <c r="M48" s="674">
        <f>N48+O48+P48+Q48</f>
        <v>250</v>
      </c>
      <c r="N48" s="675">
        <v>0</v>
      </c>
      <c r="O48" s="676">
        <v>250</v>
      </c>
      <c r="P48" s="677">
        <v>0</v>
      </c>
      <c r="Q48" s="673">
        <v>0</v>
      </c>
      <c r="R48" s="851">
        <v>0</v>
      </c>
      <c r="S48" s="677">
        <v>0</v>
      </c>
      <c r="T48" s="673">
        <v>0</v>
      </c>
      <c r="U48" s="851">
        <v>0</v>
      </c>
      <c r="V48" s="677">
        <v>0</v>
      </c>
      <c r="W48" s="673">
        <v>0</v>
      </c>
      <c r="X48" s="851">
        <v>0</v>
      </c>
      <c r="Y48" s="677">
        <v>0</v>
      </c>
      <c r="Z48" s="673">
        <v>0</v>
      </c>
      <c r="AA48" s="1186">
        <v>0</v>
      </c>
      <c r="AB48" s="25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  <c r="CJ48" s="25"/>
      <c r="CK48" s="25"/>
      <c r="CL48" s="25"/>
      <c r="CM48" s="25"/>
      <c r="CN48" s="25"/>
      <c r="CO48" s="25"/>
      <c r="CP48" s="25"/>
      <c r="CQ48" s="25"/>
      <c r="CR48" s="25"/>
      <c r="CS48" s="25"/>
      <c r="CT48" s="25"/>
      <c r="CU48" s="25"/>
      <c r="CV48" s="25"/>
      <c r="CW48" s="25"/>
      <c r="CX48" s="25"/>
      <c r="CY48" s="25"/>
      <c r="CZ48" s="25"/>
      <c r="DA48" s="25"/>
      <c r="DB48" s="25"/>
      <c r="DC48" s="25"/>
      <c r="DD48" s="25"/>
      <c r="DE48" s="25"/>
      <c r="DF48" s="25"/>
      <c r="DG48" s="25"/>
      <c r="DH48" s="25"/>
      <c r="DI48" s="25"/>
      <c r="DJ48" s="25"/>
      <c r="DK48" s="25"/>
      <c r="DL48" s="25"/>
      <c r="DM48" s="25"/>
      <c r="DN48" s="25"/>
      <c r="DO48" s="25"/>
      <c r="DP48" s="25"/>
      <c r="DQ48" s="25"/>
    </row>
    <row r="49" spans="1:121" ht="24.95" customHeight="1" thickBot="1" x14ac:dyDescent="0.3">
      <c r="D49" s="33"/>
      <c r="E49" s="1490" t="s">
        <v>272</v>
      </c>
      <c r="F49" s="1490"/>
      <c r="G49" s="1490"/>
      <c r="H49" s="1490"/>
      <c r="I49" s="1490"/>
      <c r="J49" s="1490"/>
      <c r="K49" s="1490"/>
      <c r="L49" s="1490"/>
      <c r="M49" s="36">
        <f>SUM(M48)</f>
        <v>250</v>
      </c>
      <c r="N49" s="36">
        <f t="shared" ref="N49:AA49" si="7">SUM(N48)</f>
        <v>0</v>
      </c>
      <c r="O49" s="36">
        <f t="shared" si="7"/>
        <v>250</v>
      </c>
      <c r="P49" s="36">
        <f t="shared" si="7"/>
        <v>0</v>
      </c>
      <c r="Q49" s="36">
        <f t="shared" si="7"/>
        <v>0</v>
      </c>
      <c r="R49" s="36">
        <f t="shared" si="7"/>
        <v>0</v>
      </c>
      <c r="S49" s="36">
        <f t="shared" si="7"/>
        <v>0</v>
      </c>
      <c r="T49" s="36">
        <f t="shared" si="7"/>
        <v>0</v>
      </c>
      <c r="U49" s="36">
        <f t="shared" si="7"/>
        <v>0</v>
      </c>
      <c r="V49" s="36">
        <f t="shared" si="7"/>
        <v>0</v>
      </c>
      <c r="W49" s="36">
        <f t="shared" si="7"/>
        <v>0</v>
      </c>
      <c r="X49" s="36">
        <f t="shared" si="7"/>
        <v>0</v>
      </c>
      <c r="Y49" s="36">
        <f t="shared" si="7"/>
        <v>0</v>
      </c>
      <c r="Z49" s="36">
        <f t="shared" si="7"/>
        <v>0</v>
      </c>
      <c r="AA49" s="1185">
        <f t="shared" si="7"/>
        <v>0</v>
      </c>
    </row>
    <row r="50" spans="1:121" ht="6" customHeight="1" thickBot="1" x14ac:dyDescent="0.25">
      <c r="D50" s="33"/>
      <c r="E50" s="2"/>
      <c r="F50" s="33"/>
      <c r="G50" s="33"/>
      <c r="H50" s="33"/>
      <c r="I50" s="33"/>
      <c r="J50" s="33"/>
      <c r="K50" s="33"/>
      <c r="L50" s="33"/>
    </row>
    <row r="51" spans="1:121" s="23" customFormat="1" ht="24.95" customHeight="1" thickBot="1" x14ac:dyDescent="0.3">
      <c r="A51" s="476">
        <v>136</v>
      </c>
      <c r="B51" s="718">
        <v>6171</v>
      </c>
      <c r="C51" s="481"/>
      <c r="D51" s="843"/>
      <c r="E51" s="844" t="s">
        <v>269</v>
      </c>
      <c r="F51" s="806"/>
      <c r="G51" s="845">
        <v>400</v>
      </c>
      <c r="H51" s="846">
        <v>2019</v>
      </c>
      <c r="I51" s="847">
        <v>2020</v>
      </c>
      <c r="J51" s="671">
        <f>K51+L51+M51+SUM(R51:AA51)</f>
        <v>15200</v>
      </c>
      <c r="K51" s="672">
        <v>0</v>
      </c>
      <c r="L51" s="673">
        <v>0</v>
      </c>
      <c r="M51" s="674">
        <f>N51+O51+P51+Q51</f>
        <v>5400</v>
      </c>
      <c r="N51" s="675">
        <v>0</v>
      </c>
      <c r="O51" s="848">
        <f>8400-3000</f>
        <v>5400</v>
      </c>
      <c r="P51" s="677">
        <v>0</v>
      </c>
      <c r="Q51" s="849">
        <v>0</v>
      </c>
      <c r="R51" s="850">
        <f>6800+3000</f>
        <v>9800</v>
      </c>
      <c r="S51" s="677">
        <v>0</v>
      </c>
      <c r="T51" s="673">
        <v>0</v>
      </c>
      <c r="U51" s="851">
        <v>0</v>
      </c>
      <c r="V51" s="677">
        <v>0</v>
      </c>
      <c r="W51" s="673">
        <v>0</v>
      </c>
      <c r="X51" s="851">
        <v>0</v>
      </c>
      <c r="Y51" s="677">
        <v>0</v>
      </c>
      <c r="Z51" s="673">
        <v>0</v>
      </c>
      <c r="AA51" s="1186">
        <v>0</v>
      </c>
      <c r="AB51" s="25"/>
      <c r="AC51" s="25"/>
      <c r="AD51" s="25"/>
      <c r="AE51" s="25"/>
      <c r="AF51" s="25"/>
      <c r="AG51" s="25"/>
      <c r="AH51" s="25"/>
      <c r="AI51" s="25"/>
      <c r="AJ51" s="25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  <c r="BF51" s="25"/>
      <c r="BG51" s="25"/>
      <c r="BH51" s="25"/>
      <c r="BI51" s="25"/>
      <c r="BJ51" s="25"/>
      <c r="BK51" s="25"/>
      <c r="BL51" s="25"/>
      <c r="BM51" s="25"/>
      <c r="BN51" s="25"/>
      <c r="BO51" s="25"/>
      <c r="BP51" s="25"/>
      <c r="BQ51" s="25"/>
      <c r="BR51" s="25"/>
      <c r="BS51" s="25"/>
      <c r="BT51" s="25"/>
      <c r="BU51" s="25"/>
      <c r="BV51" s="25"/>
      <c r="BW51" s="25"/>
      <c r="BX51" s="25"/>
      <c r="BY51" s="25"/>
      <c r="BZ51" s="25"/>
      <c r="CA51" s="25"/>
      <c r="CB51" s="25"/>
      <c r="CC51" s="25"/>
      <c r="CD51" s="25"/>
      <c r="CE51" s="25"/>
      <c r="CF51" s="25"/>
      <c r="CG51" s="25"/>
      <c r="CH51" s="25"/>
      <c r="CI51" s="25"/>
      <c r="CJ51" s="25"/>
      <c r="CK51" s="25"/>
      <c r="CL51" s="25"/>
      <c r="CM51" s="25"/>
      <c r="CN51" s="25"/>
      <c r="CO51" s="25"/>
      <c r="CP51" s="25"/>
      <c r="CQ51" s="25"/>
      <c r="CR51" s="25"/>
      <c r="CS51" s="25"/>
      <c r="CT51" s="25"/>
      <c r="CU51" s="25"/>
      <c r="CV51" s="25"/>
      <c r="CW51" s="25"/>
      <c r="CX51" s="25"/>
      <c r="CY51" s="25"/>
      <c r="CZ51" s="25"/>
      <c r="DA51" s="25"/>
      <c r="DB51" s="25"/>
      <c r="DC51" s="25"/>
      <c r="DD51" s="25"/>
      <c r="DE51" s="25"/>
      <c r="DF51" s="25"/>
      <c r="DG51" s="25"/>
      <c r="DH51" s="25"/>
      <c r="DI51" s="25"/>
      <c r="DJ51" s="25"/>
      <c r="DK51" s="25"/>
      <c r="DL51" s="25"/>
      <c r="DM51" s="25"/>
      <c r="DN51" s="25"/>
      <c r="DO51" s="25"/>
      <c r="DP51" s="25"/>
      <c r="DQ51" s="25"/>
    </row>
    <row r="52" spans="1:121" ht="24.95" customHeight="1" thickBot="1" x14ac:dyDescent="0.3">
      <c r="D52" s="33"/>
      <c r="E52" s="1490" t="s">
        <v>34</v>
      </c>
      <c r="F52" s="1490"/>
      <c r="G52" s="1490"/>
      <c r="H52" s="1490"/>
      <c r="I52" s="1490"/>
      <c r="J52" s="1490"/>
      <c r="K52" s="1490"/>
      <c r="L52" s="1490"/>
      <c r="M52" s="22">
        <f>SUM(M51)</f>
        <v>5400</v>
      </c>
      <c r="N52" s="22">
        <f t="shared" ref="N52:AA52" si="8">SUM(N51)</f>
        <v>0</v>
      </c>
      <c r="O52" s="22">
        <f t="shared" si="8"/>
        <v>5400</v>
      </c>
      <c r="P52" s="22">
        <f t="shared" si="8"/>
        <v>0</v>
      </c>
      <c r="Q52" s="22">
        <f t="shared" si="8"/>
        <v>0</v>
      </c>
      <c r="R52" s="22">
        <f t="shared" si="8"/>
        <v>9800</v>
      </c>
      <c r="S52" s="22">
        <f t="shared" si="8"/>
        <v>0</v>
      </c>
      <c r="T52" s="22">
        <f t="shared" si="8"/>
        <v>0</v>
      </c>
      <c r="U52" s="22">
        <f t="shared" si="8"/>
        <v>0</v>
      </c>
      <c r="V52" s="22">
        <f t="shared" si="8"/>
        <v>0</v>
      </c>
      <c r="W52" s="22">
        <f t="shared" si="8"/>
        <v>0</v>
      </c>
      <c r="X52" s="22">
        <f t="shared" si="8"/>
        <v>0</v>
      </c>
      <c r="Y52" s="22">
        <f t="shared" si="8"/>
        <v>0</v>
      </c>
      <c r="Z52" s="22">
        <f t="shared" si="8"/>
        <v>0</v>
      </c>
      <c r="AA52" s="1187">
        <f t="shared" si="8"/>
        <v>0</v>
      </c>
    </row>
    <row r="53" spans="1:121" s="688" customFormat="1" ht="18" customHeight="1" thickBot="1" x14ac:dyDescent="0.25">
      <c r="D53" s="689"/>
      <c r="E53" s="1216"/>
      <c r="F53" s="689"/>
      <c r="G53" s="689"/>
      <c r="H53" s="689"/>
      <c r="I53" s="689"/>
      <c r="J53" s="689"/>
      <c r="K53" s="689"/>
      <c r="L53" s="689"/>
      <c r="AB53" s="1179"/>
      <c r="AC53" s="1179"/>
      <c r="AD53" s="1179"/>
      <c r="AE53" s="1179"/>
      <c r="AF53" s="1179"/>
      <c r="AG53" s="1179"/>
      <c r="AH53" s="1179"/>
      <c r="AI53" s="1179"/>
      <c r="AJ53" s="1179"/>
      <c r="AK53" s="1179"/>
      <c r="AL53" s="1179"/>
      <c r="AM53" s="1179"/>
      <c r="AN53" s="1179"/>
      <c r="AO53" s="1179"/>
      <c r="AP53" s="1179"/>
      <c r="AQ53" s="1179"/>
      <c r="AR53" s="1179"/>
      <c r="AS53" s="1179"/>
      <c r="AT53" s="1179"/>
      <c r="AU53" s="1179"/>
      <c r="AV53" s="1179"/>
      <c r="AW53" s="1179"/>
      <c r="AX53" s="1179"/>
      <c r="AY53" s="1179"/>
      <c r="AZ53" s="1179"/>
      <c r="BA53" s="1179"/>
      <c r="BB53" s="1179"/>
      <c r="BC53" s="1179"/>
      <c r="BD53" s="1179"/>
      <c r="BE53" s="1179"/>
      <c r="BF53" s="1179"/>
      <c r="BG53" s="1179"/>
      <c r="BH53" s="1179"/>
      <c r="BI53" s="1179"/>
      <c r="BJ53" s="1179"/>
      <c r="BK53" s="1179"/>
      <c r="BL53" s="1179"/>
      <c r="BM53" s="1179"/>
      <c r="BN53" s="1179"/>
      <c r="BO53" s="1179"/>
      <c r="BP53" s="1179"/>
      <c r="BQ53" s="1179"/>
      <c r="BR53" s="1179"/>
      <c r="BS53" s="1179"/>
      <c r="BT53" s="1179"/>
      <c r="BU53" s="1179"/>
      <c r="BV53" s="1179"/>
      <c r="BW53" s="1179"/>
      <c r="BX53" s="1179"/>
      <c r="BY53" s="1179"/>
      <c r="BZ53" s="1179"/>
      <c r="CA53" s="1179"/>
      <c r="CB53" s="1179"/>
      <c r="CC53" s="1179"/>
      <c r="CD53" s="1179"/>
      <c r="CE53" s="1179"/>
      <c r="CF53" s="1179"/>
      <c r="CG53" s="1179"/>
      <c r="CH53" s="1179"/>
      <c r="CI53" s="1179"/>
      <c r="CJ53" s="1179"/>
      <c r="CK53" s="1179"/>
      <c r="CL53" s="1179"/>
      <c r="CM53" s="1179"/>
      <c r="CN53" s="1179"/>
      <c r="CO53" s="1179"/>
      <c r="CP53" s="1179"/>
      <c r="CQ53" s="1179"/>
      <c r="CR53" s="1179"/>
      <c r="CS53" s="1179"/>
      <c r="CT53" s="1179"/>
      <c r="CU53" s="1179"/>
      <c r="CV53" s="1179"/>
      <c r="CW53" s="1179"/>
      <c r="CX53" s="1179"/>
      <c r="CY53" s="1179"/>
      <c r="CZ53" s="1179"/>
      <c r="DA53" s="1179"/>
      <c r="DB53" s="1179"/>
      <c r="DC53" s="1179"/>
      <c r="DD53" s="1179"/>
      <c r="DE53" s="1179"/>
      <c r="DF53" s="1179"/>
      <c r="DG53" s="1179"/>
      <c r="DH53" s="1179"/>
      <c r="DI53" s="1179"/>
      <c r="DJ53" s="1179"/>
      <c r="DK53" s="1179"/>
      <c r="DL53" s="1179"/>
      <c r="DM53" s="1179"/>
      <c r="DN53" s="1179"/>
      <c r="DO53" s="1179"/>
      <c r="DP53" s="1179"/>
      <c r="DQ53" s="1179"/>
    </row>
    <row r="54" spans="1:121" s="31" customFormat="1" ht="24.95" customHeight="1" x14ac:dyDescent="0.25">
      <c r="A54" s="485">
        <v>137</v>
      </c>
      <c r="B54" s="610">
        <v>3639</v>
      </c>
      <c r="C54" s="487">
        <v>6121</v>
      </c>
      <c r="D54" s="129"/>
      <c r="E54" s="852" t="s">
        <v>256</v>
      </c>
      <c r="F54" s="853"/>
      <c r="G54" s="503">
        <v>400</v>
      </c>
      <c r="H54" s="503">
        <v>2017</v>
      </c>
      <c r="I54" s="504">
        <v>2018</v>
      </c>
      <c r="J54" s="442">
        <f>K54+L54+M54+SUM(R54:AA54)</f>
        <v>5000</v>
      </c>
      <c r="K54" s="443">
        <v>0</v>
      </c>
      <c r="L54" s="444">
        <v>0</v>
      </c>
      <c r="M54" s="445">
        <f>N54+O54+P54+Q54</f>
        <v>5000</v>
      </c>
      <c r="N54" s="446">
        <v>0</v>
      </c>
      <c r="O54" s="447">
        <v>5000</v>
      </c>
      <c r="P54" s="448">
        <v>0</v>
      </c>
      <c r="Q54" s="444">
        <v>0</v>
      </c>
      <c r="R54" s="449">
        <v>0</v>
      </c>
      <c r="S54" s="492">
        <v>0</v>
      </c>
      <c r="T54" s="444">
        <v>0</v>
      </c>
      <c r="U54" s="505">
        <v>0</v>
      </c>
      <c r="V54" s="448">
        <v>0</v>
      </c>
      <c r="W54" s="444">
        <v>0</v>
      </c>
      <c r="X54" s="609">
        <v>0</v>
      </c>
      <c r="Y54" s="448">
        <v>0</v>
      </c>
      <c r="Z54" s="444">
        <v>0</v>
      </c>
      <c r="AA54" s="982">
        <v>0</v>
      </c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  <c r="BF54" s="25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CX54" s="25"/>
      <c r="CY54" s="25"/>
      <c r="CZ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  <c r="DN54" s="25"/>
      <c r="DO54" s="25"/>
      <c r="DP54" s="25"/>
      <c r="DQ54" s="25"/>
    </row>
    <row r="55" spans="1:121" s="23" customFormat="1" ht="24.95" customHeight="1" x14ac:dyDescent="0.25">
      <c r="A55" s="476">
        <v>137</v>
      </c>
      <c r="B55" s="718">
        <v>3639</v>
      </c>
      <c r="C55" s="481">
        <v>6130</v>
      </c>
      <c r="D55" s="108"/>
      <c r="E55" s="719" t="s">
        <v>257</v>
      </c>
      <c r="F55" s="720"/>
      <c r="G55" s="537">
        <v>400</v>
      </c>
      <c r="H55" s="537">
        <v>2017</v>
      </c>
      <c r="I55" s="721">
        <v>2019</v>
      </c>
      <c r="J55" s="462">
        <f>K55+L55+M55+SUM(R55:AA55)</f>
        <v>222209</v>
      </c>
      <c r="K55" s="463">
        <v>0</v>
      </c>
      <c r="L55" s="464">
        <v>0</v>
      </c>
      <c r="M55" s="465">
        <f>N55+O55+P55+Q55</f>
        <v>52209</v>
      </c>
      <c r="N55" s="466">
        <v>2209</v>
      </c>
      <c r="O55" s="475">
        <v>50000</v>
      </c>
      <c r="P55" s="467">
        <v>0</v>
      </c>
      <c r="Q55" s="464">
        <v>0</v>
      </c>
      <c r="R55" s="469">
        <v>20000</v>
      </c>
      <c r="S55" s="468">
        <v>0</v>
      </c>
      <c r="T55" s="464">
        <v>0</v>
      </c>
      <c r="U55" s="722">
        <v>50000</v>
      </c>
      <c r="V55" s="467">
        <v>0</v>
      </c>
      <c r="W55" s="464">
        <v>0</v>
      </c>
      <c r="X55" s="723">
        <v>50000</v>
      </c>
      <c r="Y55" s="467">
        <v>0</v>
      </c>
      <c r="Z55" s="464">
        <v>0</v>
      </c>
      <c r="AA55" s="478">
        <v>50000</v>
      </c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CX55" s="25"/>
      <c r="CY55" s="25"/>
      <c r="CZ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  <c r="DN55" s="25"/>
      <c r="DO55" s="25"/>
      <c r="DP55" s="25"/>
      <c r="DQ55" s="25"/>
    </row>
    <row r="56" spans="1:121" ht="24.95" customHeight="1" thickBot="1" x14ac:dyDescent="0.3">
      <c r="D56" s="104"/>
      <c r="E56" s="1490" t="s">
        <v>28</v>
      </c>
      <c r="F56" s="1490"/>
      <c r="G56" s="1490"/>
      <c r="H56" s="1490"/>
      <c r="I56" s="1490"/>
      <c r="J56" s="1490"/>
      <c r="K56" s="1490"/>
      <c r="L56" s="1490"/>
      <c r="M56" s="36">
        <f t="shared" ref="M56:AA56" si="9">SUM(M54:M55)</f>
        <v>57209</v>
      </c>
      <c r="N56" s="36">
        <f t="shared" si="9"/>
        <v>2209</v>
      </c>
      <c r="O56" s="36">
        <f t="shared" si="9"/>
        <v>55000</v>
      </c>
      <c r="P56" s="36">
        <f t="shared" si="9"/>
        <v>0</v>
      </c>
      <c r="Q56" s="36">
        <f t="shared" si="9"/>
        <v>0</v>
      </c>
      <c r="R56" s="36">
        <f t="shared" si="9"/>
        <v>20000</v>
      </c>
      <c r="S56" s="36">
        <f t="shared" si="9"/>
        <v>0</v>
      </c>
      <c r="T56" s="36">
        <f t="shared" si="9"/>
        <v>0</v>
      </c>
      <c r="U56" s="36">
        <f t="shared" si="9"/>
        <v>50000</v>
      </c>
      <c r="V56" s="36">
        <f t="shared" si="9"/>
        <v>0</v>
      </c>
      <c r="W56" s="36">
        <f t="shared" si="9"/>
        <v>0</v>
      </c>
      <c r="X56" s="36">
        <f t="shared" si="9"/>
        <v>50000</v>
      </c>
      <c r="Y56" s="36">
        <f t="shared" si="9"/>
        <v>0</v>
      </c>
      <c r="Z56" s="36">
        <f t="shared" si="9"/>
        <v>0</v>
      </c>
      <c r="AA56" s="1185">
        <f t="shared" si="9"/>
        <v>50000</v>
      </c>
    </row>
    <row r="57" spans="1:121" ht="18" customHeight="1" thickBot="1" x14ac:dyDescent="0.25">
      <c r="D57" s="104"/>
      <c r="E57" s="2"/>
      <c r="F57" s="33"/>
      <c r="G57" s="33"/>
      <c r="H57" s="33"/>
      <c r="I57" s="33"/>
      <c r="J57" s="33"/>
      <c r="K57" s="33"/>
      <c r="L57" s="33"/>
    </row>
    <row r="58" spans="1:121" s="202" customFormat="1" ht="24.95" customHeight="1" thickBot="1" x14ac:dyDescent="0.3">
      <c r="A58" s="559">
        <v>140</v>
      </c>
      <c r="B58" s="560">
        <v>3233</v>
      </c>
      <c r="C58" s="561"/>
      <c r="D58" s="1279">
        <v>6324</v>
      </c>
      <c r="E58" s="1302" t="s">
        <v>235</v>
      </c>
      <c r="F58" s="1303" t="s">
        <v>127</v>
      </c>
      <c r="G58" s="1304">
        <v>400</v>
      </c>
      <c r="H58" s="1304">
        <v>2016</v>
      </c>
      <c r="I58" s="1305">
        <v>2019</v>
      </c>
      <c r="J58" s="1306">
        <f>K58+L58+M58+SUM(S58:AE58)</f>
        <v>13076</v>
      </c>
      <c r="K58" s="1307">
        <v>236</v>
      </c>
      <c r="L58" s="1308">
        <v>40</v>
      </c>
      <c r="M58" s="1309">
        <f>N58+O58+P58+Q58+R58</f>
        <v>12800</v>
      </c>
      <c r="N58" s="1310">
        <v>12500</v>
      </c>
      <c r="O58" s="1311">
        <v>300</v>
      </c>
      <c r="P58" s="1312">
        <v>0</v>
      </c>
      <c r="Q58" s="1313">
        <v>0</v>
      </c>
      <c r="R58" s="1314">
        <v>0</v>
      </c>
      <c r="S58" s="1312">
        <v>0</v>
      </c>
      <c r="T58" s="1315">
        <v>0</v>
      </c>
      <c r="U58" s="1316">
        <v>0</v>
      </c>
      <c r="V58" s="1312">
        <v>0</v>
      </c>
      <c r="W58" s="1313">
        <v>0</v>
      </c>
      <c r="X58" s="1314">
        <v>0</v>
      </c>
      <c r="Y58" s="1312">
        <v>0</v>
      </c>
      <c r="Z58" s="1315">
        <v>0</v>
      </c>
      <c r="AA58" s="1189">
        <v>0</v>
      </c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5"/>
      <c r="AO58" s="25"/>
      <c r="AP58" s="25"/>
      <c r="AQ58" s="25"/>
      <c r="AR58" s="25"/>
      <c r="AS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  <c r="BF58" s="25"/>
      <c r="BG58" s="25"/>
      <c r="BH58" s="25"/>
      <c r="BI58" s="25"/>
      <c r="BJ58" s="25"/>
      <c r="BK58" s="25"/>
      <c r="BL58" s="25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BZ58" s="25"/>
      <c r="CA58" s="25"/>
      <c r="CB58" s="25"/>
      <c r="CC58" s="25"/>
      <c r="CD58" s="25"/>
      <c r="CE58" s="25"/>
      <c r="CF58" s="25"/>
      <c r="CG58" s="25"/>
      <c r="CH58" s="25"/>
      <c r="CI58" s="25"/>
      <c r="CJ58" s="25"/>
      <c r="CK58" s="25"/>
      <c r="CL58" s="25"/>
      <c r="CM58" s="25"/>
      <c r="CN58" s="25"/>
      <c r="CO58" s="25"/>
      <c r="CP58" s="25"/>
      <c r="CQ58" s="25"/>
      <c r="CR58" s="25"/>
      <c r="CS58" s="25"/>
      <c r="CT58" s="25"/>
      <c r="CU58" s="25"/>
      <c r="CV58" s="25"/>
      <c r="CW58" s="25"/>
      <c r="CX58" s="25"/>
      <c r="CY58" s="25"/>
      <c r="CZ58" s="25"/>
      <c r="DA58" s="25"/>
      <c r="DB58" s="25"/>
      <c r="DC58" s="25"/>
      <c r="DD58" s="25"/>
      <c r="DE58" s="25"/>
      <c r="DF58" s="25"/>
      <c r="DG58" s="25"/>
      <c r="DH58" s="25"/>
      <c r="DI58" s="25"/>
      <c r="DJ58" s="25"/>
      <c r="DK58" s="25"/>
      <c r="DL58" s="25"/>
      <c r="DM58" s="25"/>
      <c r="DN58" s="25"/>
      <c r="DO58" s="25"/>
      <c r="DP58" s="25"/>
      <c r="DQ58" s="25"/>
    </row>
    <row r="59" spans="1:121" ht="24.95" customHeight="1" thickBot="1" x14ac:dyDescent="0.3">
      <c r="D59" s="33"/>
      <c r="E59" s="1491" t="s">
        <v>88</v>
      </c>
      <c r="F59" s="1490"/>
      <c r="G59" s="1490"/>
      <c r="H59" s="1490"/>
      <c r="I59" s="1490"/>
      <c r="J59" s="1490"/>
      <c r="K59" s="1490"/>
      <c r="L59" s="1490"/>
      <c r="M59" s="22">
        <f>SUM(M58)</f>
        <v>12800</v>
      </c>
      <c r="N59" s="22">
        <f t="shared" ref="N59:R59" si="10">SUM(N58)</f>
        <v>12500</v>
      </c>
      <c r="O59" s="22">
        <f t="shared" si="10"/>
        <v>300</v>
      </c>
      <c r="P59" s="22">
        <f t="shared" si="10"/>
        <v>0</v>
      </c>
      <c r="Q59" s="22">
        <f t="shared" si="10"/>
        <v>0</v>
      </c>
      <c r="R59" s="22">
        <f t="shared" si="10"/>
        <v>0</v>
      </c>
      <c r="S59" s="22">
        <f t="shared" ref="S59" si="11">SUM(S58)</f>
        <v>0</v>
      </c>
      <c r="T59" s="22">
        <f t="shared" ref="T59" si="12">SUM(T58)</f>
        <v>0</v>
      </c>
      <c r="U59" s="22">
        <f t="shared" ref="U59" si="13">SUM(U58)</f>
        <v>0</v>
      </c>
      <c r="V59" s="22">
        <f t="shared" ref="V59:W59" si="14">SUM(V58)</f>
        <v>0</v>
      </c>
      <c r="W59" s="22">
        <f t="shared" si="14"/>
        <v>0</v>
      </c>
      <c r="X59" s="22">
        <f t="shared" ref="X59" si="15">SUM(X58)</f>
        <v>0</v>
      </c>
      <c r="Y59" s="22">
        <f t="shared" ref="Y59" si="16">SUM(Y58)</f>
        <v>0</v>
      </c>
      <c r="Z59" s="22">
        <f t="shared" ref="Z59" si="17">SUM(Z58)</f>
        <v>0</v>
      </c>
      <c r="AA59" s="1187">
        <f t="shared" ref="AA59" si="18">SUM(AA58)</f>
        <v>0</v>
      </c>
    </row>
    <row r="60" spans="1:121" s="688" customFormat="1" ht="17.25" customHeight="1" thickBot="1" x14ac:dyDescent="0.25">
      <c r="D60" s="689"/>
      <c r="E60" s="1216"/>
      <c r="F60" s="689"/>
      <c r="G60" s="689"/>
      <c r="H60" s="689"/>
      <c r="I60" s="689"/>
      <c r="J60" s="689"/>
      <c r="K60" s="689"/>
      <c r="L60" s="689"/>
      <c r="AB60" s="1179"/>
      <c r="AC60" s="1179"/>
      <c r="AD60" s="1179"/>
      <c r="AE60" s="1179"/>
      <c r="AF60" s="1179"/>
      <c r="AG60" s="1179"/>
      <c r="AH60" s="1179"/>
      <c r="AI60" s="1179"/>
      <c r="AJ60" s="1179"/>
      <c r="AK60" s="1179"/>
      <c r="AL60" s="1179"/>
      <c r="AM60" s="1179"/>
      <c r="AN60" s="1179"/>
      <c r="AO60" s="1179"/>
      <c r="AP60" s="1179"/>
      <c r="AQ60" s="1179"/>
      <c r="AR60" s="1179"/>
      <c r="AS60" s="1179"/>
      <c r="AT60" s="1179"/>
      <c r="AU60" s="1179"/>
      <c r="AV60" s="1179"/>
      <c r="AW60" s="1179"/>
      <c r="AX60" s="1179"/>
      <c r="AY60" s="1179"/>
      <c r="AZ60" s="1179"/>
      <c r="BA60" s="1179"/>
      <c r="BB60" s="1179"/>
      <c r="BC60" s="1179"/>
      <c r="BD60" s="1179"/>
      <c r="BE60" s="1179"/>
      <c r="BF60" s="1179"/>
      <c r="BG60" s="1179"/>
      <c r="BH60" s="1179"/>
      <c r="BI60" s="1179"/>
      <c r="BJ60" s="1179"/>
      <c r="BK60" s="1179"/>
      <c r="BL60" s="1179"/>
      <c r="BM60" s="1179"/>
      <c r="BN60" s="1179"/>
      <c r="BO60" s="1179"/>
      <c r="BP60" s="1179"/>
      <c r="BQ60" s="1179"/>
      <c r="BR60" s="1179"/>
      <c r="BS60" s="1179"/>
      <c r="BT60" s="1179"/>
      <c r="BU60" s="1179"/>
      <c r="BV60" s="1179"/>
      <c r="BW60" s="1179"/>
      <c r="BX60" s="1179"/>
      <c r="BY60" s="1179"/>
      <c r="BZ60" s="1179"/>
      <c r="CA60" s="1179"/>
      <c r="CB60" s="1179"/>
      <c r="CC60" s="1179"/>
      <c r="CD60" s="1179"/>
      <c r="CE60" s="1179"/>
      <c r="CF60" s="1179"/>
      <c r="CG60" s="1179"/>
      <c r="CH60" s="1179"/>
      <c r="CI60" s="1179"/>
      <c r="CJ60" s="1179"/>
      <c r="CK60" s="1179"/>
      <c r="CL60" s="1179"/>
      <c r="CM60" s="1179"/>
      <c r="CN60" s="1179"/>
      <c r="CO60" s="1179"/>
      <c r="CP60" s="1179"/>
      <c r="CQ60" s="1179"/>
      <c r="CR60" s="1179"/>
      <c r="CS60" s="1179"/>
      <c r="CT60" s="1179"/>
      <c r="CU60" s="1179"/>
      <c r="CV60" s="1179"/>
      <c r="CW60" s="1179"/>
      <c r="CX60" s="1179"/>
      <c r="CY60" s="1179"/>
      <c r="CZ60" s="1179"/>
      <c r="DA60" s="1179"/>
      <c r="DB60" s="1179"/>
      <c r="DC60" s="1179"/>
      <c r="DD60" s="1179"/>
      <c r="DE60" s="1179"/>
      <c r="DF60" s="1179"/>
      <c r="DG60" s="1179"/>
      <c r="DH60" s="1179"/>
      <c r="DI60" s="1179"/>
      <c r="DJ60" s="1179"/>
      <c r="DK60" s="1179"/>
      <c r="DL60" s="1179"/>
      <c r="DM60" s="1179"/>
      <c r="DN60" s="1179"/>
      <c r="DO60" s="1179"/>
      <c r="DP60" s="1179"/>
      <c r="DQ60" s="1179"/>
    </row>
    <row r="61" spans="1:121" s="202" customFormat="1" ht="24.95" customHeight="1" x14ac:dyDescent="0.25">
      <c r="A61" s="683">
        <v>160</v>
      </c>
      <c r="B61" s="865">
        <v>3311</v>
      </c>
      <c r="C61" s="866"/>
      <c r="D61" s="1277"/>
      <c r="E61" s="556" t="s">
        <v>236</v>
      </c>
      <c r="F61" s="867" t="s">
        <v>127</v>
      </c>
      <c r="G61" s="503">
        <v>444</v>
      </c>
      <c r="H61" s="502">
        <v>2017</v>
      </c>
      <c r="I61" s="868">
        <v>2019</v>
      </c>
      <c r="J61" s="442">
        <f t="shared" ref="J61:J67" si="19">K61+L61+M61+SUM(R61:AA61)</f>
        <v>214020</v>
      </c>
      <c r="K61" s="443">
        <v>8618</v>
      </c>
      <c r="L61" s="540">
        <v>186846</v>
      </c>
      <c r="M61" s="445">
        <f t="shared" ref="M61:M67" si="20">N61+O61+P61+Q61</f>
        <v>18556</v>
      </c>
      <c r="N61" s="446">
        <v>0</v>
      </c>
      <c r="O61" s="447">
        <v>18556</v>
      </c>
      <c r="P61" s="448">
        <v>0</v>
      </c>
      <c r="Q61" s="444">
        <v>0</v>
      </c>
      <c r="R61" s="505">
        <v>0</v>
      </c>
      <c r="S61" s="448">
        <v>0</v>
      </c>
      <c r="T61" s="450">
        <v>0</v>
      </c>
      <c r="U61" s="541">
        <v>0</v>
      </c>
      <c r="V61" s="448">
        <v>0</v>
      </c>
      <c r="W61" s="540">
        <v>0</v>
      </c>
      <c r="X61" s="505">
        <v>0</v>
      </c>
      <c r="Y61" s="448">
        <v>0</v>
      </c>
      <c r="Z61" s="450">
        <v>0</v>
      </c>
      <c r="AA61" s="982">
        <v>0</v>
      </c>
      <c r="AB61" s="1062"/>
      <c r="AC61" s="1062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  <c r="BF61" s="25"/>
      <c r="BG61" s="25"/>
      <c r="BH61" s="25"/>
      <c r="BI61" s="25"/>
      <c r="BJ61" s="25"/>
      <c r="BK61" s="25"/>
      <c r="BL61" s="2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BZ61" s="25"/>
      <c r="CA61" s="25"/>
      <c r="CB61" s="25"/>
      <c r="CC61" s="25"/>
      <c r="CD61" s="25"/>
      <c r="CE61" s="25"/>
      <c r="CF61" s="25"/>
      <c r="CG61" s="25"/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25"/>
      <c r="CT61" s="25"/>
      <c r="CU61" s="25"/>
      <c r="CV61" s="25"/>
      <c r="CW61" s="25"/>
      <c r="CX61" s="25"/>
      <c r="CY61" s="25"/>
      <c r="CZ61" s="25"/>
      <c r="DA61" s="25"/>
      <c r="DB61" s="25"/>
      <c r="DC61" s="25"/>
      <c r="DD61" s="25"/>
      <c r="DE61" s="25"/>
      <c r="DF61" s="25"/>
      <c r="DG61" s="25"/>
      <c r="DH61" s="25"/>
      <c r="DI61" s="25"/>
      <c r="DJ61" s="25"/>
      <c r="DK61" s="25"/>
      <c r="DL61" s="25"/>
      <c r="DM61" s="25"/>
      <c r="DN61" s="25"/>
      <c r="DO61" s="25"/>
      <c r="DP61" s="25"/>
      <c r="DQ61" s="25"/>
    </row>
    <row r="62" spans="1:121" s="26" customFormat="1" ht="24.95" customHeight="1" x14ac:dyDescent="0.25">
      <c r="A62" s="532">
        <v>160</v>
      </c>
      <c r="B62" s="533">
        <v>3311</v>
      </c>
      <c r="C62" s="534"/>
      <c r="D62" s="624"/>
      <c r="E62" s="535" t="s">
        <v>237</v>
      </c>
      <c r="F62" s="536" t="s">
        <v>127</v>
      </c>
      <c r="G62" s="537">
        <v>444</v>
      </c>
      <c r="H62" s="538">
        <v>2019</v>
      </c>
      <c r="I62" s="539">
        <v>2019</v>
      </c>
      <c r="J62" s="462">
        <f t="shared" si="19"/>
        <v>3400</v>
      </c>
      <c r="K62" s="543">
        <v>0</v>
      </c>
      <c r="L62" s="544">
        <v>0</v>
      </c>
      <c r="M62" s="445">
        <f t="shared" si="20"/>
        <v>3400</v>
      </c>
      <c r="N62" s="446">
        <v>0</v>
      </c>
      <c r="O62" s="447">
        <v>1700</v>
      </c>
      <c r="P62" s="467">
        <v>0</v>
      </c>
      <c r="Q62" s="464">
        <v>1700</v>
      </c>
      <c r="R62" s="545">
        <v>0</v>
      </c>
      <c r="S62" s="546">
        <v>0</v>
      </c>
      <c r="T62" s="547">
        <v>0</v>
      </c>
      <c r="U62" s="548">
        <v>0</v>
      </c>
      <c r="V62" s="546">
        <v>0</v>
      </c>
      <c r="W62" s="544">
        <v>0</v>
      </c>
      <c r="X62" s="545">
        <v>0</v>
      </c>
      <c r="Y62" s="546">
        <v>0</v>
      </c>
      <c r="Z62" s="547">
        <v>0</v>
      </c>
      <c r="AA62" s="1190">
        <v>0</v>
      </c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  <c r="BF62" s="25"/>
      <c r="BG62" s="25"/>
      <c r="BH62" s="25"/>
      <c r="BI62" s="25"/>
      <c r="BJ62" s="25"/>
      <c r="BK62" s="25"/>
      <c r="BL62" s="25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BZ62" s="25"/>
      <c r="CA62" s="25"/>
      <c r="CB62" s="25"/>
      <c r="CC62" s="25"/>
      <c r="CD62" s="25"/>
      <c r="CE62" s="25"/>
      <c r="CF62" s="25"/>
      <c r="CG62" s="25"/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25"/>
      <c r="CT62" s="25"/>
      <c r="CU62" s="25"/>
      <c r="CV62" s="25"/>
      <c r="CW62" s="25"/>
      <c r="CX62" s="25"/>
      <c r="CY62" s="25"/>
      <c r="CZ62" s="25"/>
      <c r="DA62" s="25"/>
      <c r="DB62" s="25"/>
      <c r="DC62" s="25"/>
      <c r="DD62" s="25"/>
      <c r="DE62" s="25"/>
      <c r="DF62" s="25"/>
      <c r="DG62" s="25"/>
      <c r="DH62" s="25"/>
      <c r="DI62" s="25"/>
      <c r="DJ62" s="25"/>
      <c r="DK62" s="25"/>
      <c r="DL62" s="25"/>
      <c r="DM62" s="25"/>
      <c r="DN62" s="25"/>
      <c r="DO62" s="25"/>
      <c r="DP62" s="25"/>
      <c r="DQ62" s="25"/>
    </row>
    <row r="63" spans="1:121" s="553" customFormat="1" ht="24.95" customHeight="1" x14ac:dyDescent="0.25">
      <c r="A63" s="532">
        <v>160</v>
      </c>
      <c r="B63" s="533">
        <v>3311</v>
      </c>
      <c r="C63" s="549"/>
      <c r="D63" s="624"/>
      <c r="E63" s="535" t="s">
        <v>238</v>
      </c>
      <c r="F63" s="550" t="s">
        <v>127</v>
      </c>
      <c r="G63" s="503">
        <v>444</v>
      </c>
      <c r="H63" s="502">
        <v>2019</v>
      </c>
      <c r="I63" s="551">
        <v>2021</v>
      </c>
      <c r="J63" s="462">
        <f t="shared" si="19"/>
        <v>80000</v>
      </c>
      <c r="K63" s="136">
        <v>0</v>
      </c>
      <c r="L63" s="137">
        <v>0</v>
      </c>
      <c r="M63" s="445">
        <f t="shared" si="20"/>
        <v>2000</v>
      </c>
      <c r="N63" s="446">
        <v>0</v>
      </c>
      <c r="O63" s="447">
        <f>35000-35000</f>
        <v>0</v>
      </c>
      <c r="P63" s="467">
        <v>0</v>
      </c>
      <c r="Q63" s="552">
        <v>2000</v>
      </c>
      <c r="R63" s="469">
        <f>35000+15000</f>
        <v>50000</v>
      </c>
      <c r="S63" s="467">
        <v>0</v>
      </c>
      <c r="T63" s="464">
        <v>0</v>
      </c>
      <c r="U63" s="469">
        <v>20000</v>
      </c>
      <c r="V63" s="141">
        <v>0</v>
      </c>
      <c r="W63" s="137">
        <v>0</v>
      </c>
      <c r="X63" s="142">
        <v>8000</v>
      </c>
      <c r="Y63" s="141">
        <v>0</v>
      </c>
      <c r="Z63" s="143">
        <v>0</v>
      </c>
      <c r="AA63" s="135">
        <v>0</v>
      </c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</row>
    <row r="64" spans="1:121" s="558" customFormat="1" ht="24.95" customHeight="1" x14ac:dyDescent="0.25">
      <c r="A64" s="554">
        <v>160</v>
      </c>
      <c r="B64" s="555">
        <v>3311</v>
      </c>
      <c r="C64" s="490"/>
      <c r="D64" s="624">
        <v>4240</v>
      </c>
      <c r="E64" s="556" t="s">
        <v>239</v>
      </c>
      <c r="F64" s="383" t="s">
        <v>127</v>
      </c>
      <c r="G64" s="111">
        <v>448</v>
      </c>
      <c r="H64" s="111">
        <v>2019</v>
      </c>
      <c r="I64" s="557">
        <v>2019</v>
      </c>
      <c r="J64" s="462">
        <f t="shared" si="19"/>
        <v>28102</v>
      </c>
      <c r="K64" s="463">
        <v>0</v>
      </c>
      <c r="L64" s="464">
        <v>0</v>
      </c>
      <c r="M64" s="465">
        <f t="shared" si="20"/>
        <v>28102</v>
      </c>
      <c r="N64" s="466">
        <v>0</v>
      </c>
      <c r="O64" s="475">
        <f>28102-10000</f>
        <v>18102</v>
      </c>
      <c r="P64" s="467">
        <v>0</v>
      </c>
      <c r="Q64" s="552">
        <v>10000</v>
      </c>
      <c r="R64" s="469">
        <v>0</v>
      </c>
      <c r="S64" s="467">
        <v>0</v>
      </c>
      <c r="T64" s="464">
        <v>0</v>
      </c>
      <c r="U64" s="469">
        <v>0</v>
      </c>
      <c r="V64" s="467">
        <v>0</v>
      </c>
      <c r="W64" s="464">
        <v>0</v>
      </c>
      <c r="X64" s="469">
        <v>0</v>
      </c>
      <c r="Y64" s="467">
        <v>0</v>
      </c>
      <c r="Z64" s="464">
        <v>0</v>
      </c>
      <c r="AA64" s="478">
        <v>0</v>
      </c>
      <c r="AB64" s="1062"/>
      <c r="AC64" s="1062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</row>
    <row r="65" spans="1:121" s="202" customFormat="1" ht="24.95" customHeight="1" x14ac:dyDescent="0.25">
      <c r="A65" s="559">
        <v>160</v>
      </c>
      <c r="B65" s="560">
        <v>3312</v>
      </c>
      <c r="C65" s="561"/>
      <c r="D65" s="624"/>
      <c r="E65" s="556" t="s">
        <v>240</v>
      </c>
      <c r="F65" s="562"/>
      <c r="G65" s="563">
        <v>400</v>
      </c>
      <c r="H65" s="564">
        <v>2019</v>
      </c>
      <c r="I65" s="565">
        <v>2025</v>
      </c>
      <c r="J65" s="442">
        <f t="shared" si="19"/>
        <v>1000000</v>
      </c>
      <c r="K65" s="566">
        <v>0</v>
      </c>
      <c r="L65" s="567">
        <v>0</v>
      </c>
      <c r="M65" s="445">
        <f t="shared" si="20"/>
        <v>200000</v>
      </c>
      <c r="N65" s="568">
        <f>150000+50000</f>
        <v>200000</v>
      </c>
      <c r="O65" s="569">
        <f>50000-50000</f>
        <v>0</v>
      </c>
      <c r="P65" s="570">
        <v>0</v>
      </c>
      <c r="Q65" s="567">
        <v>0</v>
      </c>
      <c r="R65" s="571">
        <v>100000</v>
      </c>
      <c r="S65" s="570">
        <v>0</v>
      </c>
      <c r="T65" s="572">
        <v>0</v>
      </c>
      <c r="U65" s="571">
        <v>100000</v>
      </c>
      <c r="V65" s="570">
        <v>0</v>
      </c>
      <c r="W65" s="567">
        <v>0</v>
      </c>
      <c r="X65" s="571">
        <v>100000</v>
      </c>
      <c r="Y65" s="570">
        <v>0</v>
      </c>
      <c r="Z65" s="572">
        <v>0</v>
      </c>
      <c r="AA65" s="1191">
        <v>500000</v>
      </c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  <c r="BF65" s="25"/>
      <c r="BG65" s="25"/>
      <c r="BH65" s="25"/>
      <c r="BI65" s="25"/>
      <c r="BJ65" s="25"/>
      <c r="BK65" s="25"/>
      <c r="BL65" s="25"/>
      <c r="BM65" s="2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BZ65" s="25"/>
      <c r="CA65" s="25"/>
      <c r="CB65" s="25"/>
      <c r="CC65" s="25"/>
      <c r="CD65" s="25"/>
      <c r="CE65" s="25"/>
      <c r="CF65" s="25"/>
      <c r="CG65" s="25"/>
      <c r="CH65" s="25"/>
      <c r="CI65" s="25"/>
      <c r="CJ65" s="25"/>
      <c r="CK65" s="25"/>
      <c r="CL65" s="25"/>
      <c r="CM65" s="25"/>
      <c r="CN65" s="25"/>
      <c r="CO65" s="25"/>
      <c r="CP65" s="25"/>
      <c r="CQ65" s="25"/>
      <c r="CR65" s="25"/>
      <c r="CS65" s="25"/>
      <c r="CT65" s="25"/>
      <c r="CU65" s="25"/>
      <c r="CV65" s="25"/>
      <c r="CW65" s="25"/>
      <c r="CX65" s="25"/>
      <c r="CY65" s="25"/>
      <c r="CZ65" s="25"/>
      <c r="DA65" s="25"/>
      <c r="DB65" s="25"/>
      <c r="DC65" s="25"/>
      <c r="DD65" s="25"/>
      <c r="DE65" s="25"/>
      <c r="DF65" s="25"/>
      <c r="DG65" s="25"/>
      <c r="DH65" s="25"/>
      <c r="DI65" s="25"/>
      <c r="DJ65" s="25"/>
      <c r="DK65" s="25"/>
      <c r="DL65" s="25"/>
      <c r="DM65" s="25"/>
      <c r="DN65" s="25"/>
      <c r="DO65" s="25"/>
      <c r="DP65" s="25"/>
      <c r="DQ65" s="25"/>
    </row>
    <row r="66" spans="1:121" s="26" customFormat="1" ht="24.95" customHeight="1" x14ac:dyDescent="0.25">
      <c r="A66" s="529">
        <v>160</v>
      </c>
      <c r="B66" s="575">
        <v>3392</v>
      </c>
      <c r="C66" s="530">
        <v>6313</v>
      </c>
      <c r="D66" s="624">
        <v>4258</v>
      </c>
      <c r="E66" s="576" t="s">
        <v>242</v>
      </c>
      <c r="F66" s="577" t="s">
        <v>121</v>
      </c>
      <c r="G66" s="578">
        <v>470</v>
      </c>
      <c r="H66" s="111">
        <v>2013</v>
      </c>
      <c r="I66" s="112">
        <v>2021</v>
      </c>
      <c r="J66" s="462">
        <f t="shared" si="19"/>
        <v>314000</v>
      </c>
      <c r="K66" s="579">
        <v>0</v>
      </c>
      <c r="L66" s="580">
        <v>0</v>
      </c>
      <c r="M66" s="465">
        <f t="shared" si="20"/>
        <v>50000</v>
      </c>
      <c r="N66" s="581">
        <v>0</v>
      </c>
      <c r="O66" s="475">
        <v>10000</v>
      </c>
      <c r="P66" s="467">
        <v>0</v>
      </c>
      <c r="Q66" s="552">
        <v>40000</v>
      </c>
      <c r="R66" s="469">
        <v>240000</v>
      </c>
      <c r="S66" s="467">
        <v>0</v>
      </c>
      <c r="T66" s="464">
        <v>0</v>
      </c>
      <c r="U66" s="469">
        <v>24000</v>
      </c>
      <c r="V66" s="582">
        <v>0</v>
      </c>
      <c r="W66" s="580">
        <v>0</v>
      </c>
      <c r="X66" s="583">
        <v>0</v>
      </c>
      <c r="Y66" s="582">
        <v>0</v>
      </c>
      <c r="Z66" s="584">
        <v>0</v>
      </c>
      <c r="AA66" s="1190">
        <v>0</v>
      </c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  <c r="BF66" s="25"/>
      <c r="BG66" s="25"/>
      <c r="BH66" s="25"/>
      <c r="BI66" s="25"/>
      <c r="BJ66" s="25"/>
      <c r="BK66" s="25"/>
      <c r="BL66" s="25"/>
      <c r="BM66" s="25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BZ66" s="25"/>
      <c r="CA66" s="25"/>
      <c r="CB66" s="25"/>
      <c r="CC66" s="25"/>
      <c r="CD66" s="25"/>
      <c r="CE66" s="25"/>
      <c r="CF66" s="25"/>
      <c r="CG66" s="25"/>
      <c r="CH66" s="25"/>
      <c r="CI66" s="25"/>
      <c r="CJ66" s="25"/>
      <c r="CK66" s="25"/>
      <c r="CL66" s="25"/>
      <c r="CM66" s="25"/>
      <c r="CN66" s="25"/>
      <c r="CO66" s="25"/>
      <c r="CP66" s="25"/>
      <c r="CQ66" s="25"/>
      <c r="CR66" s="25"/>
      <c r="CS66" s="25"/>
      <c r="CT66" s="25"/>
      <c r="CU66" s="25"/>
      <c r="CV66" s="25"/>
      <c r="CW66" s="25"/>
      <c r="CX66" s="25"/>
      <c r="CY66" s="25"/>
      <c r="CZ66" s="25"/>
      <c r="DA66" s="25"/>
      <c r="DB66" s="25"/>
      <c r="DC66" s="25"/>
      <c r="DD66" s="25"/>
      <c r="DE66" s="25"/>
      <c r="DF66" s="25"/>
      <c r="DG66" s="25"/>
      <c r="DH66" s="25"/>
      <c r="DI66" s="25"/>
      <c r="DJ66" s="25"/>
      <c r="DK66" s="25"/>
      <c r="DL66" s="25"/>
      <c r="DM66" s="25"/>
      <c r="DN66" s="25"/>
      <c r="DO66" s="25"/>
      <c r="DP66" s="25"/>
      <c r="DQ66" s="25"/>
    </row>
    <row r="67" spans="1:121" s="26" customFormat="1" ht="24.95" customHeight="1" thickBot="1" x14ac:dyDescent="0.3">
      <c r="A67" s="529">
        <v>160</v>
      </c>
      <c r="B67" s="575">
        <v>3392</v>
      </c>
      <c r="C67" s="530">
        <v>6313</v>
      </c>
      <c r="D67" s="1278">
        <v>4258</v>
      </c>
      <c r="E67" s="585" t="s">
        <v>243</v>
      </c>
      <c r="F67" s="586" t="s">
        <v>121</v>
      </c>
      <c r="G67" s="587">
        <v>470</v>
      </c>
      <c r="H67" s="587">
        <v>2019</v>
      </c>
      <c r="I67" s="588">
        <v>2021</v>
      </c>
      <c r="J67" s="589">
        <f t="shared" si="19"/>
        <v>20000</v>
      </c>
      <c r="K67" s="590">
        <v>0</v>
      </c>
      <c r="L67" s="591">
        <v>0</v>
      </c>
      <c r="M67" s="592">
        <f t="shared" si="20"/>
        <v>0</v>
      </c>
      <c r="N67" s="593">
        <v>0</v>
      </c>
      <c r="O67" s="526">
        <v>0</v>
      </c>
      <c r="P67" s="594">
        <v>0</v>
      </c>
      <c r="Q67" s="595">
        <v>0</v>
      </c>
      <c r="R67" s="596">
        <v>20000</v>
      </c>
      <c r="S67" s="594">
        <v>0</v>
      </c>
      <c r="T67" s="595">
        <v>0</v>
      </c>
      <c r="U67" s="596">
        <v>0</v>
      </c>
      <c r="V67" s="597">
        <v>0</v>
      </c>
      <c r="W67" s="591">
        <v>0</v>
      </c>
      <c r="X67" s="598">
        <v>0</v>
      </c>
      <c r="Y67" s="597">
        <v>0</v>
      </c>
      <c r="Z67" s="599">
        <v>0</v>
      </c>
      <c r="AA67" s="1192">
        <v>0</v>
      </c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BZ67" s="25"/>
      <c r="CA67" s="25"/>
      <c r="CB67" s="25"/>
      <c r="CC67" s="25"/>
      <c r="CD67" s="25"/>
      <c r="CE67" s="25"/>
      <c r="CF67" s="25"/>
      <c r="CG67" s="25"/>
      <c r="CH67" s="25"/>
      <c r="CI67" s="25"/>
      <c r="CJ67" s="25"/>
      <c r="CK67" s="25"/>
      <c r="CL67" s="25"/>
      <c r="CM67" s="25"/>
      <c r="CN67" s="25"/>
      <c r="CO67" s="25"/>
      <c r="CP67" s="25"/>
      <c r="CQ67" s="25"/>
      <c r="CR67" s="25"/>
      <c r="CS67" s="25"/>
      <c r="CT67" s="25"/>
      <c r="CU67" s="25"/>
      <c r="CV67" s="25"/>
      <c r="CW67" s="25"/>
      <c r="CX67" s="25"/>
      <c r="CY67" s="25"/>
      <c r="CZ67" s="25"/>
      <c r="DA67" s="25"/>
      <c r="DB67" s="25"/>
      <c r="DC67" s="25"/>
      <c r="DD67" s="25"/>
      <c r="DE67" s="25"/>
      <c r="DF67" s="25"/>
      <c r="DG67" s="25"/>
      <c r="DH67" s="25"/>
      <c r="DI67" s="25"/>
      <c r="DJ67" s="25"/>
      <c r="DK67" s="25"/>
      <c r="DL67" s="25"/>
      <c r="DM67" s="25"/>
      <c r="DN67" s="25"/>
      <c r="DO67" s="25"/>
      <c r="DP67" s="25"/>
      <c r="DQ67" s="25"/>
    </row>
    <row r="68" spans="1:121" ht="24.95" customHeight="1" thickBot="1" x14ac:dyDescent="0.3">
      <c r="D68" s="33"/>
      <c r="E68" s="1490" t="s">
        <v>29</v>
      </c>
      <c r="F68" s="1490"/>
      <c r="G68" s="1490"/>
      <c r="H68" s="1490"/>
      <c r="I68" s="1490"/>
      <c r="J68" s="1490"/>
      <c r="K68" s="1490"/>
      <c r="L68" s="1490"/>
      <c r="M68" s="36">
        <f t="shared" ref="M68:AA68" si="21">SUM(M61:M67)</f>
        <v>302058</v>
      </c>
      <c r="N68" s="36">
        <f t="shared" si="21"/>
        <v>200000</v>
      </c>
      <c r="O68" s="36">
        <f t="shared" si="21"/>
        <v>48358</v>
      </c>
      <c r="P68" s="36">
        <f t="shared" si="21"/>
        <v>0</v>
      </c>
      <c r="Q68" s="36">
        <f t="shared" si="21"/>
        <v>53700</v>
      </c>
      <c r="R68" s="36">
        <f t="shared" si="21"/>
        <v>410000</v>
      </c>
      <c r="S68" s="36">
        <f t="shared" si="21"/>
        <v>0</v>
      </c>
      <c r="T68" s="36">
        <f t="shared" si="21"/>
        <v>0</v>
      </c>
      <c r="U68" s="36">
        <f t="shared" si="21"/>
        <v>144000</v>
      </c>
      <c r="V68" s="36">
        <f t="shared" si="21"/>
        <v>0</v>
      </c>
      <c r="W68" s="36">
        <f t="shared" si="21"/>
        <v>0</v>
      </c>
      <c r="X68" s="36">
        <f t="shared" si="21"/>
        <v>108000</v>
      </c>
      <c r="Y68" s="36">
        <f t="shared" si="21"/>
        <v>0</v>
      </c>
      <c r="Z68" s="36">
        <f t="shared" si="21"/>
        <v>0</v>
      </c>
      <c r="AA68" s="1185">
        <f t="shared" si="21"/>
        <v>500000</v>
      </c>
    </row>
    <row r="69" spans="1:121" s="688" customFormat="1" ht="24.95" customHeight="1" thickBot="1" x14ac:dyDescent="0.25">
      <c r="D69" s="689"/>
      <c r="E69" s="1216"/>
      <c r="F69" s="689"/>
      <c r="G69" s="689"/>
      <c r="H69" s="689"/>
      <c r="I69" s="689"/>
      <c r="J69" s="689"/>
      <c r="K69" s="689"/>
      <c r="L69" s="689"/>
      <c r="AB69" s="1179"/>
      <c r="AC69" s="1179"/>
      <c r="AD69" s="1179"/>
      <c r="AE69" s="1179"/>
      <c r="AF69" s="1179"/>
      <c r="AG69" s="1179"/>
      <c r="AH69" s="1179"/>
      <c r="AI69" s="1179"/>
      <c r="AJ69" s="1179"/>
      <c r="AK69" s="1179"/>
      <c r="AL69" s="1179"/>
      <c r="AM69" s="1179"/>
      <c r="AN69" s="1179"/>
      <c r="AO69" s="1179"/>
      <c r="AP69" s="1179"/>
      <c r="AQ69" s="1179"/>
      <c r="AR69" s="1179"/>
      <c r="AS69" s="1179"/>
      <c r="AT69" s="1179"/>
      <c r="AU69" s="1179"/>
      <c r="AV69" s="1179"/>
      <c r="AW69" s="1179"/>
      <c r="AX69" s="1179"/>
      <c r="AY69" s="1179"/>
      <c r="AZ69" s="1179"/>
      <c r="BA69" s="1179"/>
      <c r="BB69" s="1179"/>
      <c r="BC69" s="1179"/>
      <c r="BD69" s="1179"/>
      <c r="BE69" s="1179"/>
      <c r="BF69" s="1179"/>
      <c r="BG69" s="1179"/>
      <c r="BH69" s="1179"/>
      <c r="BI69" s="1179"/>
      <c r="BJ69" s="1179"/>
      <c r="BK69" s="1179"/>
      <c r="BL69" s="1179"/>
      <c r="BM69" s="1179"/>
      <c r="BN69" s="1179"/>
      <c r="BO69" s="1179"/>
      <c r="BP69" s="1179"/>
      <c r="BQ69" s="1179"/>
      <c r="BR69" s="1179"/>
      <c r="BS69" s="1179"/>
      <c r="BT69" s="1179"/>
      <c r="BU69" s="1179"/>
      <c r="BV69" s="1179"/>
      <c r="BW69" s="1179"/>
      <c r="BX69" s="1179"/>
      <c r="BY69" s="1179"/>
      <c r="BZ69" s="1179"/>
      <c r="CA69" s="1179"/>
      <c r="CB69" s="1179"/>
      <c r="CC69" s="1179"/>
      <c r="CD69" s="1179"/>
      <c r="CE69" s="1179"/>
      <c r="CF69" s="1179"/>
      <c r="CG69" s="1179"/>
      <c r="CH69" s="1179"/>
      <c r="CI69" s="1179"/>
      <c r="CJ69" s="1179"/>
      <c r="CK69" s="1179"/>
      <c r="CL69" s="1179"/>
      <c r="CM69" s="1179"/>
      <c r="CN69" s="1179"/>
      <c r="CO69" s="1179"/>
      <c r="CP69" s="1179"/>
      <c r="CQ69" s="1179"/>
      <c r="CR69" s="1179"/>
      <c r="CS69" s="1179"/>
      <c r="CT69" s="1179"/>
      <c r="CU69" s="1179"/>
      <c r="CV69" s="1179"/>
      <c r="CW69" s="1179"/>
      <c r="CX69" s="1179"/>
      <c r="CY69" s="1179"/>
      <c r="CZ69" s="1179"/>
      <c r="DA69" s="1179"/>
      <c r="DB69" s="1179"/>
      <c r="DC69" s="1179"/>
      <c r="DD69" s="1179"/>
      <c r="DE69" s="1179"/>
      <c r="DF69" s="1179"/>
      <c r="DG69" s="1179"/>
      <c r="DH69" s="1179"/>
      <c r="DI69" s="1179"/>
      <c r="DJ69" s="1179"/>
      <c r="DK69" s="1179"/>
      <c r="DL69" s="1179"/>
      <c r="DM69" s="1179"/>
      <c r="DN69" s="1179"/>
      <c r="DO69" s="1179"/>
      <c r="DP69" s="1179"/>
      <c r="DQ69" s="1179"/>
    </row>
    <row r="70" spans="1:121" s="25" customFormat="1" ht="24.95" customHeight="1" x14ac:dyDescent="0.25">
      <c r="A70" s="600">
        <v>161</v>
      </c>
      <c r="B70" s="1090">
        <v>3412</v>
      </c>
      <c r="C70" s="1091">
        <v>6121</v>
      </c>
      <c r="D70" s="1277">
        <v>4261</v>
      </c>
      <c r="E70" s="788" t="s">
        <v>244</v>
      </c>
      <c r="F70" s="501" t="s">
        <v>123</v>
      </c>
      <c r="G70" s="607">
        <v>455</v>
      </c>
      <c r="H70" s="607">
        <v>2018</v>
      </c>
      <c r="I70" s="1000">
        <v>2019</v>
      </c>
      <c r="J70" s="442">
        <f>K70+L70+M70+SUM(R70:AA70)</f>
        <v>260445</v>
      </c>
      <c r="K70" s="443">
        <v>0</v>
      </c>
      <c r="L70" s="492">
        <v>50000</v>
      </c>
      <c r="M70" s="445">
        <f t="shared" ref="M70:M78" si="22">N70+O70+P70+Q70</f>
        <v>210445</v>
      </c>
      <c r="N70" s="446">
        <v>0</v>
      </c>
      <c r="O70" s="447">
        <f>140445</f>
        <v>140445</v>
      </c>
      <c r="P70" s="448">
        <v>70000</v>
      </c>
      <c r="Q70" s="444">
        <v>0</v>
      </c>
      <c r="R70" s="449">
        <v>0</v>
      </c>
      <c r="S70" s="448">
        <v>0</v>
      </c>
      <c r="T70" s="444">
        <v>0</v>
      </c>
      <c r="U70" s="449">
        <v>0</v>
      </c>
      <c r="V70" s="448">
        <v>0</v>
      </c>
      <c r="W70" s="444">
        <v>0</v>
      </c>
      <c r="X70" s="449">
        <v>0</v>
      </c>
      <c r="Y70" s="448">
        <v>0</v>
      </c>
      <c r="Z70" s="444">
        <v>0</v>
      </c>
      <c r="AA70" s="982">
        <v>0</v>
      </c>
    </row>
    <row r="71" spans="1:121" s="25" customFormat="1" ht="24.95" customHeight="1" x14ac:dyDescent="0.25">
      <c r="A71" s="600">
        <v>161</v>
      </c>
      <c r="B71" s="601">
        <v>3412</v>
      </c>
      <c r="C71" s="602">
        <v>6121</v>
      </c>
      <c r="D71" s="624">
        <v>4261</v>
      </c>
      <c r="E71" s="603" t="s">
        <v>245</v>
      </c>
      <c r="F71" s="604" t="s">
        <v>246</v>
      </c>
      <c r="G71" s="483">
        <v>455</v>
      </c>
      <c r="H71" s="502">
        <v>2018</v>
      </c>
      <c r="I71" s="605">
        <v>2019</v>
      </c>
      <c r="J71" s="462">
        <f>K71+L71+M71+SUM(R71:AA71)</f>
        <v>19268</v>
      </c>
      <c r="K71" s="463">
        <v>0</v>
      </c>
      <c r="L71" s="468">
        <v>7500</v>
      </c>
      <c r="M71" s="465">
        <f t="shared" si="22"/>
        <v>11768</v>
      </c>
      <c r="N71" s="466">
        <v>0</v>
      </c>
      <c r="O71" s="475">
        <v>11768</v>
      </c>
      <c r="P71" s="467">
        <v>0</v>
      </c>
      <c r="Q71" s="464">
        <v>0</v>
      </c>
      <c r="R71" s="469">
        <v>0</v>
      </c>
      <c r="S71" s="467">
        <v>0</v>
      </c>
      <c r="T71" s="464">
        <v>0</v>
      </c>
      <c r="U71" s="469">
        <v>0</v>
      </c>
      <c r="V71" s="467">
        <v>0</v>
      </c>
      <c r="W71" s="464">
        <v>0</v>
      </c>
      <c r="X71" s="469">
        <v>0</v>
      </c>
      <c r="Y71" s="467">
        <v>0</v>
      </c>
      <c r="Z71" s="464">
        <v>0</v>
      </c>
      <c r="AA71" s="478">
        <v>0</v>
      </c>
    </row>
    <row r="72" spans="1:121" s="25" customFormat="1" ht="24.95" customHeight="1" x14ac:dyDescent="0.25">
      <c r="A72" s="600">
        <v>161</v>
      </c>
      <c r="B72" s="601">
        <v>3412</v>
      </c>
      <c r="C72" s="602">
        <v>6121</v>
      </c>
      <c r="D72" s="471">
        <v>4261</v>
      </c>
      <c r="E72" s="606" t="s">
        <v>247</v>
      </c>
      <c r="F72" s="604" t="s">
        <v>201</v>
      </c>
      <c r="G72" s="607">
        <v>455</v>
      </c>
      <c r="H72" s="502">
        <v>2018</v>
      </c>
      <c r="I72" s="605">
        <v>2019</v>
      </c>
      <c r="J72" s="462">
        <f>K72+L72+M72+SUM(R72:AA72)</f>
        <v>18000</v>
      </c>
      <c r="K72" s="463">
        <v>0</v>
      </c>
      <c r="L72" s="468">
        <v>16033</v>
      </c>
      <c r="M72" s="465">
        <f t="shared" si="22"/>
        <v>1967</v>
      </c>
      <c r="N72" s="466">
        <v>1967</v>
      </c>
      <c r="O72" s="475">
        <v>0</v>
      </c>
      <c r="P72" s="463">
        <v>0</v>
      </c>
      <c r="Q72" s="608">
        <v>0</v>
      </c>
      <c r="R72" s="505">
        <v>0</v>
      </c>
      <c r="S72" s="467">
        <v>0</v>
      </c>
      <c r="T72" s="444">
        <v>0</v>
      </c>
      <c r="U72" s="609">
        <v>0</v>
      </c>
      <c r="V72" s="448">
        <v>0</v>
      </c>
      <c r="W72" s="492">
        <v>0</v>
      </c>
      <c r="X72" s="449">
        <v>0</v>
      </c>
      <c r="Y72" s="448">
        <v>0</v>
      </c>
      <c r="Z72" s="444">
        <v>0</v>
      </c>
      <c r="AA72" s="493">
        <v>0</v>
      </c>
    </row>
    <row r="73" spans="1:121" s="620" customFormat="1" ht="24.95" customHeight="1" x14ac:dyDescent="0.25">
      <c r="A73" s="485">
        <v>161</v>
      </c>
      <c r="B73" s="610">
        <v>3412</v>
      </c>
      <c r="C73" s="487">
        <v>6121</v>
      </c>
      <c r="D73" s="611">
        <v>4262</v>
      </c>
      <c r="E73" s="606" t="s">
        <v>248</v>
      </c>
      <c r="F73" s="550" t="s">
        <v>121</v>
      </c>
      <c r="G73" s="503">
        <v>412</v>
      </c>
      <c r="H73" s="503">
        <v>2019</v>
      </c>
      <c r="I73" s="612">
        <v>2020</v>
      </c>
      <c r="J73" s="613">
        <f>K73+L73+M73+SUM(R73:AE73)</f>
        <v>153400</v>
      </c>
      <c r="K73" s="614">
        <v>0</v>
      </c>
      <c r="L73" s="120">
        <v>0</v>
      </c>
      <c r="M73" s="615">
        <f t="shared" si="22"/>
        <v>0</v>
      </c>
      <c r="N73" s="616">
        <v>0</v>
      </c>
      <c r="O73" s="118">
        <f>56700-30000-26700</f>
        <v>0</v>
      </c>
      <c r="P73" s="614">
        <v>0</v>
      </c>
      <c r="Q73" s="617">
        <v>0</v>
      </c>
      <c r="R73" s="618">
        <f>126700-O73</f>
        <v>126700</v>
      </c>
      <c r="S73" s="122">
        <v>0</v>
      </c>
      <c r="T73" s="143">
        <v>0</v>
      </c>
      <c r="U73" s="144">
        <v>26700</v>
      </c>
      <c r="V73" s="141">
        <v>0</v>
      </c>
      <c r="W73" s="137">
        <v>0</v>
      </c>
      <c r="X73" s="142">
        <v>0</v>
      </c>
      <c r="Y73" s="141">
        <v>0</v>
      </c>
      <c r="Z73" s="143">
        <v>0</v>
      </c>
      <c r="AA73" s="135">
        <v>0</v>
      </c>
      <c r="AB73" s="619"/>
      <c r="AC73" s="619"/>
      <c r="AD73" s="619"/>
      <c r="AE73" s="619"/>
      <c r="AF73" s="619"/>
      <c r="AG73" s="619"/>
      <c r="AH73" s="619"/>
      <c r="AI73" s="619"/>
      <c r="AJ73" s="619"/>
      <c r="AK73" s="619"/>
      <c r="AL73" s="619"/>
      <c r="AM73" s="619"/>
      <c r="AN73" s="619"/>
      <c r="AO73" s="619"/>
      <c r="AP73" s="619"/>
      <c r="AQ73" s="619"/>
      <c r="AR73" s="619"/>
      <c r="AS73" s="619"/>
      <c r="AT73" s="619"/>
      <c r="AU73" s="619"/>
      <c r="AV73" s="619"/>
      <c r="AW73" s="619"/>
      <c r="AX73" s="619"/>
      <c r="AY73" s="619"/>
      <c r="AZ73" s="619"/>
      <c r="BA73" s="619"/>
      <c r="BB73" s="619"/>
      <c r="BC73" s="619"/>
      <c r="BD73" s="619"/>
      <c r="BE73" s="619"/>
      <c r="BF73" s="619"/>
      <c r="BG73" s="619"/>
      <c r="BH73" s="619"/>
      <c r="BI73" s="619"/>
      <c r="BJ73" s="619"/>
      <c r="BK73" s="619"/>
      <c r="BL73" s="619"/>
      <c r="BM73" s="619"/>
      <c r="BN73" s="619"/>
      <c r="BO73" s="619"/>
      <c r="BP73" s="619"/>
      <c r="BQ73" s="619"/>
      <c r="BR73" s="619"/>
      <c r="BS73" s="619"/>
      <c r="BT73" s="619"/>
      <c r="BU73" s="619"/>
      <c r="BV73" s="619"/>
      <c r="BW73" s="619"/>
      <c r="BX73" s="619"/>
      <c r="BY73" s="619"/>
      <c r="BZ73" s="619"/>
      <c r="CA73" s="619"/>
      <c r="CB73" s="619"/>
      <c r="CC73" s="619"/>
      <c r="CD73" s="619"/>
      <c r="CE73" s="619"/>
      <c r="CF73" s="619"/>
      <c r="CG73" s="619"/>
      <c r="CH73" s="619"/>
      <c r="CI73" s="619"/>
      <c r="CJ73" s="619"/>
      <c r="CK73" s="619"/>
      <c r="CL73" s="619"/>
      <c r="CM73" s="619"/>
      <c r="CN73" s="619"/>
      <c r="CO73" s="619"/>
      <c r="CP73" s="619"/>
      <c r="CQ73" s="619"/>
      <c r="CR73" s="619"/>
      <c r="CS73" s="619"/>
      <c r="CT73" s="619"/>
      <c r="CU73" s="619"/>
      <c r="CV73" s="619"/>
      <c r="CW73" s="619"/>
      <c r="CX73" s="619"/>
      <c r="CY73" s="619"/>
      <c r="CZ73" s="619"/>
      <c r="DA73" s="619"/>
      <c r="DB73" s="619"/>
      <c r="DC73" s="619"/>
      <c r="DD73" s="619"/>
      <c r="DE73" s="619"/>
      <c r="DF73" s="619"/>
      <c r="DG73" s="619"/>
      <c r="DH73" s="619"/>
      <c r="DI73" s="619"/>
      <c r="DJ73" s="619"/>
      <c r="DK73" s="619"/>
      <c r="DL73" s="619"/>
      <c r="DM73" s="619"/>
      <c r="DN73" s="619"/>
      <c r="DO73" s="619"/>
      <c r="DP73" s="619"/>
      <c r="DQ73" s="619"/>
    </row>
    <row r="74" spans="1:121" s="26" customFormat="1" ht="24.75" customHeight="1" x14ac:dyDescent="0.25">
      <c r="A74" s="621">
        <v>161</v>
      </c>
      <c r="B74" s="622">
        <v>3412</v>
      </c>
      <c r="C74" s="623">
        <v>6121</v>
      </c>
      <c r="D74" s="1318">
        <v>4262</v>
      </c>
      <c r="E74" s="603" t="s">
        <v>249</v>
      </c>
      <c r="F74" s="625" t="s">
        <v>121</v>
      </c>
      <c r="G74" s="537">
        <v>412</v>
      </c>
      <c r="H74" s="537">
        <v>2019</v>
      </c>
      <c r="I74" s="626">
        <v>2019</v>
      </c>
      <c r="J74" s="613">
        <f>K74+L74+M74+SUM(R74:AE74)</f>
        <v>43000</v>
      </c>
      <c r="K74" s="614">
        <v>0</v>
      </c>
      <c r="L74" s="468">
        <v>0</v>
      </c>
      <c r="M74" s="138">
        <f t="shared" si="22"/>
        <v>43000</v>
      </c>
      <c r="N74" s="616">
        <v>0</v>
      </c>
      <c r="O74" s="118">
        <f>38000-38000+14304-481</f>
        <v>13823</v>
      </c>
      <c r="P74" s="122">
        <v>9000</v>
      </c>
      <c r="Q74" s="627">
        <f>34000-14304+481</f>
        <v>20177</v>
      </c>
      <c r="R74" s="628">
        <v>0</v>
      </c>
      <c r="S74" s="122">
        <v>0</v>
      </c>
      <c r="T74" s="143">
        <v>0</v>
      </c>
      <c r="U74" s="144">
        <v>0</v>
      </c>
      <c r="V74" s="141">
        <v>0</v>
      </c>
      <c r="W74" s="137">
        <v>0</v>
      </c>
      <c r="X74" s="142">
        <v>0</v>
      </c>
      <c r="Y74" s="141">
        <v>0</v>
      </c>
      <c r="Z74" s="143">
        <v>0</v>
      </c>
      <c r="AA74" s="135">
        <v>0</v>
      </c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  <c r="BF74" s="25"/>
      <c r="BG74" s="25"/>
      <c r="BH74" s="25"/>
      <c r="BI74" s="25"/>
      <c r="BJ74" s="25"/>
      <c r="BK74" s="25"/>
      <c r="BL74" s="25"/>
      <c r="BM74" s="25"/>
      <c r="BN74" s="25"/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BZ74" s="25"/>
      <c r="CA74" s="25"/>
      <c r="CB74" s="25"/>
      <c r="CC74" s="25"/>
      <c r="CD74" s="25"/>
      <c r="CE74" s="25"/>
      <c r="CF74" s="25"/>
      <c r="CG74" s="25"/>
      <c r="CH74" s="25"/>
      <c r="CI74" s="25"/>
      <c r="CJ74" s="25"/>
      <c r="CK74" s="25"/>
      <c r="CL74" s="25"/>
      <c r="CM74" s="25"/>
      <c r="CN74" s="25"/>
      <c r="CO74" s="25"/>
      <c r="CP74" s="25"/>
      <c r="CQ74" s="25"/>
      <c r="CR74" s="25"/>
      <c r="CS74" s="25"/>
      <c r="CT74" s="25"/>
      <c r="CU74" s="25"/>
      <c r="CV74" s="25"/>
      <c r="CW74" s="25"/>
      <c r="CX74" s="25"/>
      <c r="CY74" s="25"/>
      <c r="CZ74" s="25"/>
      <c r="DA74" s="25"/>
      <c r="DB74" s="25"/>
      <c r="DC74" s="25"/>
      <c r="DD74" s="25"/>
      <c r="DE74" s="25"/>
      <c r="DF74" s="25"/>
      <c r="DG74" s="25"/>
      <c r="DH74" s="25"/>
      <c r="DI74" s="25"/>
      <c r="DJ74" s="25"/>
      <c r="DK74" s="25"/>
      <c r="DL74" s="25"/>
      <c r="DM74" s="25"/>
      <c r="DN74" s="25"/>
      <c r="DO74" s="25"/>
      <c r="DP74" s="25"/>
      <c r="DQ74" s="25"/>
    </row>
    <row r="75" spans="1:121" s="26" customFormat="1" ht="27.75" customHeight="1" x14ac:dyDescent="0.25">
      <c r="A75" s="621">
        <v>161</v>
      </c>
      <c r="B75" s="622">
        <v>3412</v>
      </c>
      <c r="C75" s="623">
        <v>6121</v>
      </c>
      <c r="D75" s="624">
        <v>4262</v>
      </c>
      <c r="E75" s="796" t="s">
        <v>250</v>
      </c>
      <c r="F75" s="629" t="s">
        <v>127</v>
      </c>
      <c r="G75" s="630">
        <v>412</v>
      </c>
      <c r="H75" s="630">
        <v>2019</v>
      </c>
      <c r="I75" s="631">
        <v>2019</v>
      </c>
      <c r="J75" s="632">
        <f>K75+L75+M75+SUM(R75:AE75)</f>
        <v>16000</v>
      </c>
      <c r="K75" s="633">
        <v>0</v>
      </c>
      <c r="L75" s="634">
        <v>0</v>
      </c>
      <c r="M75" s="635">
        <f t="shared" si="22"/>
        <v>16000</v>
      </c>
      <c r="N75" s="636">
        <v>0</v>
      </c>
      <c r="O75" s="637">
        <f>14000-14000</f>
        <v>0</v>
      </c>
      <c r="P75" s="638">
        <v>5000</v>
      </c>
      <c r="Q75" s="639">
        <v>11000</v>
      </c>
      <c r="R75" s="640">
        <v>0</v>
      </c>
      <c r="S75" s="638">
        <v>0</v>
      </c>
      <c r="T75" s="641">
        <v>0</v>
      </c>
      <c r="U75" s="642">
        <v>0</v>
      </c>
      <c r="V75" s="643">
        <v>0</v>
      </c>
      <c r="W75" s="644">
        <v>0</v>
      </c>
      <c r="X75" s="645">
        <v>0</v>
      </c>
      <c r="Y75" s="643">
        <v>0</v>
      </c>
      <c r="Z75" s="641">
        <v>0</v>
      </c>
      <c r="AA75" s="135">
        <v>0</v>
      </c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  <c r="BF75" s="25"/>
      <c r="BG75" s="25"/>
      <c r="BH75" s="25"/>
      <c r="BI75" s="25"/>
      <c r="BJ75" s="25"/>
      <c r="BK75" s="25"/>
      <c r="BL75" s="25"/>
      <c r="BM75" s="25"/>
      <c r="BN75" s="25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BZ75" s="25"/>
      <c r="CA75" s="25"/>
      <c r="CB75" s="25"/>
      <c r="CC75" s="25"/>
      <c r="CD75" s="25"/>
      <c r="CE75" s="25"/>
      <c r="CF75" s="25"/>
      <c r="CG75" s="25"/>
      <c r="CH75" s="25"/>
      <c r="CI75" s="25"/>
      <c r="CJ75" s="25"/>
      <c r="CK75" s="25"/>
      <c r="CL75" s="25"/>
      <c r="CM75" s="25"/>
      <c r="CN75" s="25"/>
      <c r="CO75" s="25"/>
      <c r="CP75" s="25"/>
      <c r="CQ75" s="25"/>
      <c r="CR75" s="25"/>
      <c r="CS75" s="25"/>
      <c r="CT75" s="25"/>
      <c r="CU75" s="25"/>
      <c r="CV75" s="25"/>
      <c r="CW75" s="25"/>
      <c r="CX75" s="25"/>
      <c r="CY75" s="25"/>
      <c r="CZ75" s="25"/>
      <c r="DA75" s="25"/>
      <c r="DB75" s="25"/>
      <c r="DC75" s="25"/>
      <c r="DD75" s="25"/>
      <c r="DE75" s="25"/>
      <c r="DF75" s="25"/>
      <c r="DG75" s="25"/>
      <c r="DH75" s="25"/>
      <c r="DI75" s="25"/>
      <c r="DJ75" s="25"/>
      <c r="DK75" s="25"/>
      <c r="DL75" s="25"/>
      <c r="DM75" s="25"/>
      <c r="DN75" s="25"/>
      <c r="DO75" s="25"/>
      <c r="DP75" s="25"/>
      <c r="DQ75" s="25"/>
    </row>
    <row r="76" spans="1:121" s="26" customFormat="1" ht="24.95" customHeight="1" x14ac:dyDescent="0.25">
      <c r="A76" s="476">
        <v>161</v>
      </c>
      <c r="B76" s="646">
        <v>3412</v>
      </c>
      <c r="C76" s="534">
        <v>6121</v>
      </c>
      <c r="D76" s="624">
        <v>4262</v>
      </c>
      <c r="E76" s="796" t="s">
        <v>251</v>
      </c>
      <c r="F76" s="625" t="s">
        <v>127</v>
      </c>
      <c r="G76" s="537">
        <v>412</v>
      </c>
      <c r="H76" s="537">
        <v>2020</v>
      </c>
      <c r="I76" s="626">
        <v>2020</v>
      </c>
      <c r="J76" s="613">
        <f>K76+L76+M76+SUM(R76:AE76)</f>
        <v>20000</v>
      </c>
      <c r="K76" s="614">
        <v>0</v>
      </c>
      <c r="L76" s="468">
        <v>0</v>
      </c>
      <c r="M76" s="615">
        <f t="shared" si="22"/>
        <v>0</v>
      </c>
      <c r="N76" s="616">
        <v>0</v>
      </c>
      <c r="O76" s="118">
        <v>0</v>
      </c>
      <c r="P76" s="614">
        <v>0</v>
      </c>
      <c r="Q76" s="617">
        <v>0</v>
      </c>
      <c r="R76" s="628">
        <v>16000</v>
      </c>
      <c r="S76" s="122">
        <v>4000</v>
      </c>
      <c r="T76" s="123">
        <v>0</v>
      </c>
      <c r="U76" s="124">
        <v>0</v>
      </c>
      <c r="V76" s="122">
        <v>0</v>
      </c>
      <c r="W76" s="120">
        <v>0</v>
      </c>
      <c r="X76" s="121">
        <v>0</v>
      </c>
      <c r="Y76" s="122">
        <v>0</v>
      </c>
      <c r="Z76" s="123">
        <v>0</v>
      </c>
      <c r="AA76" s="613">
        <v>0</v>
      </c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  <c r="BF76" s="25"/>
      <c r="BG76" s="25"/>
      <c r="BH76" s="25"/>
      <c r="BI76" s="25"/>
      <c r="BJ76" s="25"/>
      <c r="BK76" s="25"/>
      <c r="BL76" s="25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BZ76" s="25"/>
      <c r="CA76" s="25"/>
      <c r="CB76" s="25"/>
      <c r="CC76" s="25"/>
      <c r="CD76" s="25"/>
      <c r="CE76" s="25"/>
      <c r="CF76" s="25"/>
      <c r="CG76" s="25"/>
      <c r="CH76" s="25"/>
      <c r="CI76" s="25"/>
      <c r="CJ76" s="25"/>
      <c r="CK76" s="25"/>
      <c r="CL76" s="25"/>
      <c r="CM76" s="25"/>
      <c r="CN76" s="25"/>
      <c r="CO76" s="25"/>
      <c r="CP76" s="25"/>
      <c r="CQ76" s="25"/>
      <c r="CR76" s="25"/>
      <c r="CS76" s="25"/>
      <c r="CT76" s="25"/>
      <c r="CU76" s="25"/>
      <c r="CV76" s="25"/>
      <c r="CW76" s="25"/>
      <c r="CX76" s="25"/>
      <c r="CY76" s="25"/>
      <c r="CZ76" s="25"/>
      <c r="DA76" s="25"/>
      <c r="DB76" s="25"/>
      <c r="DC76" s="25"/>
      <c r="DD76" s="25"/>
      <c r="DE76" s="25"/>
      <c r="DF76" s="25"/>
      <c r="DG76" s="25"/>
      <c r="DH76" s="25"/>
      <c r="DI76" s="25"/>
      <c r="DJ76" s="25"/>
      <c r="DK76" s="25"/>
      <c r="DL76" s="25"/>
      <c r="DM76" s="25"/>
      <c r="DN76" s="25"/>
      <c r="DO76" s="25"/>
      <c r="DP76" s="25"/>
      <c r="DQ76" s="25"/>
    </row>
    <row r="77" spans="1:121" s="26" customFormat="1" ht="27.75" customHeight="1" x14ac:dyDescent="0.25">
      <c r="A77" s="665">
        <v>230</v>
      </c>
      <c r="B77" s="666">
        <v>3419</v>
      </c>
      <c r="C77" s="667">
        <v>6121</v>
      </c>
      <c r="D77" s="1055"/>
      <c r="E77" s="796" t="s">
        <v>391</v>
      </c>
      <c r="F77" s="439" t="s">
        <v>121</v>
      </c>
      <c r="G77" s="440"/>
      <c r="H77" s="1206">
        <v>2018</v>
      </c>
      <c r="I77" s="441">
        <v>2019</v>
      </c>
      <c r="J77" s="442">
        <f>K77+L77+M77+SUM(R77:AA77)</f>
        <v>14520</v>
      </c>
      <c r="K77" s="443"/>
      <c r="L77" s="444">
        <v>5000</v>
      </c>
      <c r="M77" s="445">
        <f>N77+O77+P77+Q77</f>
        <v>9520</v>
      </c>
      <c r="N77" s="446">
        <v>0</v>
      </c>
      <c r="O77" s="447">
        <v>9520</v>
      </c>
      <c r="P77" s="448">
        <v>0</v>
      </c>
      <c r="Q77" s="444">
        <v>0</v>
      </c>
      <c r="R77" s="449">
        <v>0</v>
      </c>
      <c r="S77" s="448">
        <v>0</v>
      </c>
      <c r="T77" s="444">
        <v>0</v>
      </c>
      <c r="U77" s="449">
        <v>0</v>
      </c>
      <c r="V77" s="448">
        <v>0</v>
      </c>
      <c r="W77" s="444">
        <v>0</v>
      </c>
      <c r="X77" s="449">
        <v>0</v>
      </c>
      <c r="Y77" s="448">
        <v>0</v>
      </c>
      <c r="Z77" s="492">
        <v>0</v>
      </c>
      <c r="AA77" s="493">
        <v>0</v>
      </c>
      <c r="AB77" s="1062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  <c r="BF77" s="25"/>
      <c r="BG77" s="25"/>
      <c r="BH77" s="25"/>
      <c r="BI77" s="25"/>
      <c r="BJ77" s="25"/>
      <c r="BK77" s="25"/>
      <c r="BL77" s="25"/>
      <c r="BM77" s="25"/>
      <c r="BN77" s="25"/>
      <c r="BO77" s="25"/>
      <c r="BP77" s="25"/>
      <c r="BQ77" s="25"/>
      <c r="BR77" s="25"/>
      <c r="BS77" s="25"/>
      <c r="BT77" s="25"/>
      <c r="BU77" s="25"/>
      <c r="BV77" s="25"/>
      <c r="BW77" s="25"/>
      <c r="BX77" s="25"/>
      <c r="BY77" s="25"/>
      <c r="BZ77" s="25"/>
      <c r="CA77" s="25"/>
      <c r="CB77" s="25"/>
      <c r="CC77" s="25"/>
      <c r="CD77" s="25"/>
      <c r="CE77" s="25"/>
      <c r="CF77" s="25"/>
      <c r="CG77" s="25"/>
      <c r="CH77" s="25"/>
      <c r="CI77" s="25"/>
      <c r="CJ77" s="25"/>
      <c r="CK77" s="25"/>
      <c r="CL77" s="25"/>
      <c r="CM77" s="25"/>
      <c r="CN77" s="25"/>
      <c r="CO77" s="25"/>
      <c r="CP77" s="25"/>
      <c r="CQ77" s="25"/>
      <c r="CR77" s="25"/>
      <c r="CS77" s="25"/>
      <c r="CT77" s="25"/>
      <c r="CU77" s="25"/>
      <c r="CV77" s="25"/>
      <c r="CW77" s="25"/>
      <c r="CX77" s="25"/>
      <c r="CY77" s="25"/>
      <c r="CZ77" s="25"/>
      <c r="DA77" s="25"/>
      <c r="DB77" s="25"/>
      <c r="DC77" s="25"/>
      <c r="DD77" s="25"/>
      <c r="DE77" s="25"/>
      <c r="DF77" s="25"/>
      <c r="DG77" s="25"/>
      <c r="DH77" s="25"/>
      <c r="DI77" s="25"/>
      <c r="DJ77" s="25"/>
      <c r="DK77" s="25"/>
      <c r="DL77" s="25"/>
      <c r="DM77" s="25"/>
      <c r="DN77" s="25"/>
      <c r="DO77" s="25"/>
      <c r="DP77" s="25"/>
      <c r="DQ77" s="25"/>
    </row>
    <row r="78" spans="1:121" s="26" customFormat="1" ht="32.25" customHeight="1" thickBot="1" x14ac:dyDescent="0.3">
      <c r="A78" s="476">
        <v>161</v>
      </c>
      <c r="B78" s="646">
        <v>3412</v>
      </c>
      <c r="C78" s="534">
        <v>6121</v>
      </c>
      <c r="D78" s="647"/>
      <c r="E78" s="648" t="s">
        <v>252</v>
      </c>
      <c r="F78" s="649"/>
      <c r="G78" s="650">
        <v>400</v>
      </c>
      <c r="H78" s="650">
        <v>2018</v>
      </c>
      <c r="I78" s="651">
        <v>2022</v>
      </c>
      <c r="J78" s="652">
        <f>K78+L78+M78+SUM(R78:AE78)</f>
        <v>250000</v>
      </c>
      <c r="K78" s="653">
        <v>0</v>
      </c>
      <c r="L78" s="654">
        <v>0</v>
      </c>
      <c r="M78" s="615">
        <f t="shared" si="22"/>
        <v>0</v>
      </c>
      <c r="N78" s="655">
        <v>0</v>
      </c>
      <c r="O78" s="498">
        <v>0</v>
      </c>
      <c r="P78" s="653">
        <v>0</v>
      </c>
      <c r="Q78" s="656">
        <v>0</v>
      </c>
      <c r="R78" s="657">
        <f>100000-96000</f>
        <v>4000</v>
      </c>
      <c r="S78" s="658">
        <v>0</v>
      </c>
      <c r="T78" s="659">
        <v>0</v>
      </c>
      <c r="U78" s="660">
        <v>150000</v>
      </c>
      <c r="V78" s="658">
        <v>0</v>
      </c>
      <c r="W78" s="661">
        <v>0</v>
      </c>
      <c r="X78" s="662">
        <v>96000</v>
      </c>
      <c r="Y78" s="658">
        <v>0</v>
      </c>
      <c r="Z78" s="659">
        <v>0</v>
      </c>
      <c r="AA78" s="772">
        <v>0</v>
      </c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  <c r="BF78" s="25"/>
      <c r="BG78" s="25"/>
      <c r="BH78" s="25"/>
      <c r="BI78" s="25"/>
      <c r="BJ78" s="25"/>
      <c r="BK78" s="25"/>
      <c r="BL78" s="25"/>
      <c r="BM78" s="25"/>
      <c r="BN78" s="25"/>
      <c r="BO78" s="25"/>
      <c r="BP78" s="25"/>
      <c r="BQ78" s="25"/>
      <c r="BR78" s="25"/>
      <c r="BS78" s="25"/>
      <c r="BT78" s="25"/>
      <c r="BU78" s="25"/>
      <c r="BV78" s="25"/>
      <c r="BW78" s="25"/>
      <c r="BX78" s="25"/>
      <c r="BY78" s="25"/>
      <c r="BZ78" s="25"/>
      <c r="CA78" s="25"/>
      <c r="CB78" s="25"/>
      <c r="CC78" s="25"/>
      <c r="CD78" s="25"/>
      <c r="CE78" s="25"/>
      <c r="CF78" s="25"/>
      <c r="CG78" s="25"/>
      <c r="CH78" s="25"/>
      <c r="CI78" s="25"/>
      <c r="CJ78" s="25"/>
      <c r="CK78" s="25"/>
      <c r="CL78" s="25"/>
      <c r="CM78" s="25"/>
      <c r="CN78" s="25"/>
      <c r="CO78" s="25"/>
      <c r="CP78" s="25"/>
      <c r="CQ78" s="25"/>
      <c r="CR78" s="25"/>
      <c r="CS78" s="25"/>
      <c r="CT78" s="25"/>
      <c r="CU78" s="25"/>
      <c r="CV78" s="25"/>
      <c r="CW78" s="25"/>
      <c r="CX78" s="25"/>
      <c r="CY78" s="25"/>
      <c r="CZ78" s="25"/>
      <c r="DA78" s="25"/>
      <c r="DB78" s="25"/>
      <c r="DC78" s="25"/>
      <c r="DD78" s="25"/>
      <c r="DE78" s="25"/>
      <c r="DF78" s="25"/>
      <c r="DG78" s="25"/>
      <c r="DH78" s="25"/>
      <c r="DI78" s="25"/>
      <c r="DJ78" s="25"/>
      <c r="DK78" s="25"/>
      <c r="DL78" s="25"/>
      <c r="DM78" s="25"/>
      <c r="DN78" s="25"/>
      <c r="DO78" s="25"/>
      <c r="DP78" s="25"/>
      <c r="DQ78" s="25"/>
    </row>
    <row r="79" spans="1:121" ht="24.95" customHeight="1" thickBot="1" x14ac:dyDescent="0.3">
      <c r="D79" s="33"/>
      <c r="E79" s="1491" t="s">
        <v>30</v>
      </c>
      <c r="F79" s="1490"/>
      <c r="G79" s="1490"/>
      <c r="H79" s="1490"/>
      <c r="I79" s="1490"/>
      <c r="J79" s="1490"/>
      <c r="K79" s="1490"/>
      <c r="L79" s="1490"/>
      <c r="M79" s="22">
        <f t="shared" ref="M79:AA79" si="23">SUM(M70:M78)</f>
        <v>292700</v>
      </c>
      <c r="N79" s="22">
        <f t="shared" si="23"/>
        <v>1967</v>
      </c>
      <c r="O79" s="22">
        <f t="shared" si="23"/>
        <v>175556</v>
      </c>
      <c r="P79" s="22">
        <f t="shared" si="23"/>
        <v>84000</v>
      </c>
      <c r="Q79" s="22">
        <f t="shared" si="23"/>
        <v>31177</v>
      </c>
      <c r="R79" s="22">
        <f t="shared" si="23"/>
        <v>146700</v>
      </c>
      <c r="S79" s="22">
        <f t="shared" si="23"/>
        <v>4000</v>
      </c>
      <c r="T79" s="22">
        <f t="shared" si="23"/>
        <v>0</v>
      </c>
      <c r="U79" s="22">
        <f t="shared" si="23"/>
        <v>176700</v>
      </c>
      <c r="V79" s="22">
        <f t="shared" si="23"/>
        <v>0</v>
      </c>
      <c r="W79" s="22">
        <f t="shared" si="23"/>
        <v>0</v>
      </c>
      <c r="X79" s="22">
        <f t="shared" si="23"/>
        <v>96000</v>
      </c>
      <c r="Y79" s="22">
        <f t="shared" si="23"/>
        <v>0</v>
      </c>
      <c r="Z79" s="22">
        <f t="shared" si="23"/>
        <v>0</v>
      </c>
      <c r="AA79" s="1187">
        <f t="shared" si="23"/>
        <v>0</v>
      </c>
    </row>
    <row r="80" spans="1:121" ht="24.95" customHeight="1" thickBot="1" x14ac:dyDescent="0.25">
      <c r="D80" s="689"/>
      <c r="E80" s="1216"/>
      <c r="F80" s="689"/>
      <c r="G80" s="689"/>
      <c r="H80" s="689"/>
      <c r="I80" s="689"/>
      <c r="J80" s="33"/>
      <c r="K80" s="33"/>
      <c r="L80" s="33"/>
    </row>
    <row r="81" spans="1:121" s="25" customFormat="1" ht="28.5" customHeight="1" thickBot="1" x14ac:dyDescent="0.3">
      <c r="A81" s="665">
        <v>170</v>
      </c>
      <c r="B81" s="666">
        <v>3599</v>
      </c>
      <c r="C81" s="667">
        <v>6121</v>
      </c>
      <c r="D81" s="1279"/>
      <c r="E81" s="1301" t="s">
        <v>514</v>
      </c>
      <c r="F81" s="870" t="s">
        <v>127</v>
      </c>
      <c r="G81" s="750">
        <v>400</v>
      </c>
      <c r="H81" s="750">
        <v>2019</v>
      </c>
      <c r="I81" s="871">
        <v>2020</v>
      </c>
      <c r="J81" s="671">
        <f>K81+L81+M81+SUM(R81:AA81)</f>
        <v>519782</v>
      </c>
      <c r="K81" s="672">
        <v>1907</v>
      </c>
      <c r="L81" s="673">
        <v>0</v>
      </c>
      <c r="M81" s="674">
        <f>N81+O81+P81+Q81</f>
        <v>517875</v>
      </c>
      <c r="N81" s="675">
        <f>417875+50000</f>
        <v>467875</v>
      </c>
      <c r="O81" s="676">
        <f>100000-50000</f>
        <v>50000</v>
      </c>
      <c r="P81" s="677">
        <v>0</v>
      </c>
      <c r="Q81" s="673">
        <v>0</v>
      </c>
      <c r="R81" s="678">
        <v>0</v>
      </c>
      <c r="S81" s="677">
        <v>0</v>
      </c>
      <c r="T81" s="673">
        <v>0</v>
      </c>
      <c r="U81" s="678">
        <v>0</v>
      </c>
      <c r="V81" s="677">
        <v>0</v>
      </c>
      <c r="W81" s="673">
        <v>0</v>
      </c>
      <c r="X81" s="678">
        <v>0</v>
      </c>
      <c r="Y81" s="677">
        <v>0</v>
      </c>
      <c r="Z81" s="673">
        <v>0</v>
      </c>
      <c r="AA81" s="1186">
        <v>0</v>
      </c>
    </row>
    <row r="82" spans="1:121" ht="24.95" customHeight="1" thickBot="1" x14ac:dyDescent="0.3">
      <c r="D82" s="33"/>
      <c r="E82" s="1490" t="s">
        <v>90</v>
      </c>
      <c r="F82" s="1490"/>
      <c r="G82" s="1490"/>
      <c r="H82" s="1490"/>
      <c r="I82" s="1490"/>
      <c r="J82" s="1490"/>
      <c r="K82" s="1490"/>
      <c r="L82" s="1490"/>
      <c r="M82" s="22">
        <f>SUM(M81:M81)</f>
        <v>517875</v>
      </c>
      <c r="N82" s="22">
        <f t="shared" ref="N82:AA82" si="24">SUM(N81:N81)</f>
        <v>467875</v>
      </c>
      <c r="O82" s="22">
        <f t="shared" si="24"/>
        <v>50000</v>
      </c>
      <c r="P82" s="22">
        <f t="shared" si="24"/>
        <v>0</v>
      </c>
      <c r="Q82" s="22">
        <f t="shared" si="24"/>
        <v>0</v>
      </c>
      <c r="R82" s="22">
        <f t="shared" si="24"/>
        <v>0</v>
      </c>
      <c r="S82" s="22">
        <f t="shared" si="24"/>
        <v>0</v>
      </c>
      <c r="T82" s="22">
        <f t="shared" si="24"/>
        <v>0</v>
      </c>
      <c r="U82" s="22">
        <f t="shared" si="24"/>
        <v>0</v>
      </c>
      <c r="V82" s="22">
        <f t="shared" si="24"/>
        <v>0</v>
      </c>
      <c r="W82" s="22">
        <f t="shared" si="24"/>
        <v>0</v>
      </c>
      <c r="X82" s="22">
        <f t="shared" si="24"/>
        <v>0</v>
      </c>
      <c r="Y82" s="22">
        <f t="shared" si="24"/>
        <v>0</v>
      </c>
      <c r="Z82" s="22">
        <f t="shared" si="24"/>
        <v>0</v>
      </c>
      <c r="AA82" s="1187">
        <f t="shared" si="24"/>
        <v>0</v>
      </c>
    </row>
    <row r="83" spans="1:121" ht="24.95" customHeight="1" thickBot="1" x14ac:dyDescent="0.25">
      <c r="D83" s="33"/>
      <c r="E83" s="2"/>
      <c r="F83" s="33"/>
      <c r="G83" s="33"/>
      <c r="H83" s="33"/>
      <c r="I83" s="33"/>
      <c r="J83" s="33"/>
      <c r="K83" s="33"/>
      <c r="L83" s="33"/>
    </row>
    <row r="84" spans="1:121" s="31" customFormat="1" ht="28.5" customHeight="1" x14ac:dyDescent="0.25">
      <c r="A84" s="485">
        <v>180</v>
      </c>
      <c r="B84" s="610">
        <v>4357</v>
      </c>
      <c r="C84" s="487"/>
      <c r="D84" s="1277"/>
      <c r="E84" s="1295" t="s">
        <v>512</v>
      </c>
      <c r="F84" s="1296" t="s">
        <v>123</v>
      </c>
      <c r="G84" s="1297">
        <v>424</v>
      </c>
      <c r="H84" s="1298">
        <v>2019</v>
      </c>
      <c r="I84" s="1299">
        <v>2019</v>
      </c>
      <c r="J84" s="685">
        <f>K84+L84+M84+SUM(R84:AA84)</f>
        <v>22347</v>
      </c>
      <c r="K84" s="738">
        <v>0</v>
      </c>
      <c r="L84" s="739">
        <v>2786</v>
      </c>
      <c r="M84" s="686">
        <f>N84+O84+P84+Q84</f>
        <v>19561</v>
      </c>
      <c r="N84" s="740">
        <v>0</v>
      </c>
      <c r="O84" s="741">
        <v>19561</v>
      </c>
      <c r="P84" s="742">
        <v>0</v>
      </c>
      <c r="Q84" s="739">
        <v>0</v>
      </c>
      <c r="R84" s="1300">
        <v>0</v>
      </c>
      <c r="S84" s="742">
        <v>0</v>
      </c>
      <c r="T84" s="739">
        <v>0</v>
      </c>
      <c r="U84" s="1300">
        <v>0</v>
      </c>
      <c r="V84" s="742">
        <v>0</v>
      </c>
      <c r="W84" s="739">
        <v>0</v>
      </c>
      <c r="X84" s="743">
        <v>0</v>
      </c>
      <c r="Y84" s="742">
        <v>0</v>
      </c>
      <c r="Z84" s="739">
        <v>0</v>
      </c>
      <c r="AA84" s="982">
        <v>0</v>
      </c>
      <c r="AB84" s="25"/>
      <c r="AC84" s="25"/>
      <c r="AD84" s="25"/>
      <c r="AE84" s="25"/>
      <c r="AF84" s="25"/>
      <c r="AG84" s="25"/>
      <c r="AH84" s="25"/>
      <c r="AI84" s="25"/>
      <c r="AJ84" s="25"/>
      <c r="AK84" s="25"/>
      <c r="AL84" s="25"/>
      <c r="AM84" s="25"/>
      <c r="AN84" s="25"/>
      <c r="AO84" s="25"/>
      <c r="AP84" s="25"/>
      <c r="AQ84" s="25"/>
      <c r="AR84" s="25"/>
      <c r="AS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  <c r="BF84" s="25"/>
      <c r="BG84" s="25"/>
      <c r="BH84" s="25"/>
      <c r="BI84" s="25"/>
      <c r="BJ84" s="25"/>
      <c r="BK84" s="25"/>
      <c r="BL84" s="25"/>
      <c r="BM84" s="25"/>
      <c r="BN84" s="25"/>
      <c r="BO84" s="25"/>
      <c r="BP84" s="25"/>
      <c r="BQ84" s="25"/>
      <c r="BR84" s="25"/>
      <c r="BS84" s="25"/>
      <c r="BT84" s="25"/>
      <c r="BU84" s="25"/>
      <c r="BV84" s="25"/>
      <c r="BW84" s="25"/>
      <c r="BX84" s="25"/>
      <c r="BY84" s="25"/>
      <c r="BZ84" s="25"/>
      <c r="CA84" s="25"/>
      <c r="CB84" s="25"/>
      <c r="CC84" s="25"/>
      <c r="CD84" s="25"/>
      <c r="CE84" s="25"/>
      <c r="CF84" s="25"/>
      <c r="CG84" s="25"/>
      <c r="CH84" s="25"/>
      <c r="CI84" s="25"/>
      <c r="CJ84" s="25"/>
      <c r="CK84" s="25"/>
      <c r="CL84" s="25"/>
      <c r="CM84" s="25"/>
      <c r="CN84" s="25"/>
      <c r="CO84" s="25"/>
      <c r="CP84" s="25"/>
      <c r="CQ84" s="25"/>
      <c r="CR84" s="25"/>
      <c r="CS84" s="25"/>
      <c r="CT84" s="25"/>
      <c r="CU84" s="25"/>
      <c r="CV84" s="25"/>
      <c r="CW84" s="25"/>
      <c r="CX84" s="25"/>
      <c r="CY84" s="25"/>
      <c r="CZ84" s="25"/>
      <c r="DA84" s="25"/>
      <c r="DB84" s="25"/>
      <c r="DC84" s="25"/>
      <c r="DD84" s="25"/>
      <c r="DE84" s="25"/>
      <c r="DF84" s="25"/>
      <c r="DG84" s="25"/>
      <c r="DH84" s="25"/>
      <c r="DI84" s="25"/>
      <c r="DJ84" s="25"/>
      <c r="DK84" s="25"/>
      <c r="DL84" s="25"/>
      <c r="DM84" s="25"/>
      <c r="DN84" s="25"/>
      <c r="DO84" s="25"/>
      <c r="DP84" s="25"/>
      <c r="DQ84" s="25"/>
    </row>
    <row r="85" spans="1:121" s="803" customFormat="1" ht="28.5" customHeight="1" thickBot="1" x14ac:dyDescent="0.3">
      <c r="A85" s="801">
        <v>180</v>
      </c>
      <c r="B85" s="802">
        <v>4357</v>
      </c>
      <c r="C85" s="858"/>
      <c r="D85" s="1278"/>
      <c r="E85" s="585" t="s">
        <v>513</v>
      </c>
      <c r="F85" s="798" t="s">
        <v>123</v>
      </c>
      <c r="G85" s="799">
        <v>424</v>
      </c>
      <c r="H85" s="800">
        <v>2019</v>
      </c>
      <c r="I85" s="520">
        <v>2020</v>
      </c>
      <c r="J85" s="589">
        <f>K85+L85+M85+SUM(R85:AA85)</f>
        <v>53903</v>
      </c>
      <c r="K85" s="790">
        <v>0</v>
      </c>
      <c r="L85" s="595">
        <v>0</v>
      </c>
      <c r="M85" s="592">
        <f>N85+O85+P85+Q85</f>
        <v>30000</v>
      </c>
      <c r="N85" s="872">
        <v>0</v>
      </c>
      <c r="O85" s="526">
        <v>30000</v>
      </c>
      <c r="P85" s="594">
        <v>0</v>
      </c>
      <c r="Q85" s="595">
        <v>0</v>
      </c>
      <c r="R85" s="596">
        <v>23903</v>
      </c>
      <c r="S85" s="594">
        <v>0</v>
      </c>
      <c r="T85" s="595">
        <v>0</v>
      </c>
      <c r="U85" s="596">
        <v>0</v>
      </c>
      <c r="V85" s="594">
        <v>0</v>
      </c>
      <c r="W85" s="595">
        <v>0</v>
      </c>
      <c r="X85" s="596">
        <v>0</v>
      </c>
      <c r="Y85" s="594">
        <v>0</v>
      </c>
      <c r="Z85" s="595">
        <v>0</v>
      </c>
      <c r="AA85" s="1188">
        <v>0</v>
      </c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  <c r="BF85" s="25"/>
      <c r="BG85" s="25"/>
      <c r="BH85" s="25"/>
      <c r="BI85" s="25"/>
      <c r="BJ85" s="25"/>
      <c r="BK85" s="25"/>
      <c r="BL85" s="25"/>
      <c r="BM85" s="25"/>
      <c r="BN85" s="25"/>
      <c r="BO85" s="25"/>
      <c r="BP85" s="25"/>
      <c r="BQ85" s="25"/>
      <c r="BR85" s="25"/>
      <c r="BS85" s="25"/>
      <c r="BT85" s="25"/>
      <c r="BU85" s="25"/>
      <c r="BV85" s="25"/>
      <c r="BW85" s="25"/>
      <c r="BX85" s="25"/>
      <c r="BY85" s="25"/>
      <c r="BZ85" s="25"/>
      <c r="CA85" s="25"/>
      <c r="CB85" s="25"/>
      <c r="CC85" s="25"/>
      <c r="CD85" s="25"/>
      <c r="CE85" s="25"/>
      <c r="CF85" s="25"/>
      <c r="CG85" s="25"/>
      <c r="CH85" s="25"/>
      <c r="CI85" s="25"/>
      <c r="CJ85" s="25"/>
      <c r="CK85" s="25"/>
      <c r="CL85" s="25"/>
      <c r="CM85" s="25"/>
      <c r="CN85" s="25"/>
      <c r="CO85" s="25"/>
      <c r="CP85" s="25"/>
      <c r="CQ85" s="25"/>
      <c r="CR85" s="25"/>
      <c r="CS85" s="25"/>
      <c r="CT85" s="25"/>
      <c r="CU85" s="25"/>
      <c r="CV85" s="25"/>
      <c r="CW85" s="25"/>
      <c r="CX85" s="25"/>
      <c r="CY85" s="25"/>
      <c r="CZ85" s="25"/>
      <c r="DA85" s="25"/>
      <c r="DB85" s="25"/>
      <c r="DC85" s="25"/>
      <c r="DD85" s="25"/>
      <c r="DE85" s="25"/>
      <c r="DF85" s="25"/>
      <c r="DG85" s="25"/>
      <c r="DH85" s="25"/>
      <c r="DI85" s="25"/>
      <c r="DJ85" s="25"/>
      <c r="DK85" s="25"/>
      <c r="DL85" s="25"/>
      <c r="DM85" s="25"/>
      <c r="DN85" s="25"/>
      <c r="DO85" s="25"/>
      <c r="DP85" s="25"/>
      <c r="DQ85" s="25"/>
    </row>
    <row r="86" spans="1:121" ht="24.95" customHeight="1" thickBot="1" x14ac:dyDescent="0.3">
      <c r="D86" s="33"/>
      <c r="E86" s="1490" t="s">
        <v>53</v>
      </c>
      <c r="F86" s="1490"/>
      <c r="G86" s="1490"/>
      <c r="H86" s="1490"/>
      <c r="I86" s="1490"/>
      <c r="J86" s="1490"/>
      <c r="K86" s="1490"/>
      <c r="L86" s="1490"/>
      <c r="M86" s="36">
        <f>SUM(M84:M85)</f>
        <v>49561</v>
      </c>
      <c r="N86" s="22">
        <f t="shared" ref="N86:AA86" si="25">SUM(N84:N85)</f>
        <v>0</v>
      </c>
      <c r="O86" s="1348">
        <f t="shared" si="25"/>
        <v>49561</v>
      </c>
      <c r="P86" s="36">
        <f t="shared" si="25"/>
        <v>0</v>
      </c>
      <c r="Q86" s="36">
        <f t="shared" si="25"/>
        <v>0</v>
      </c>
      <c r="R86" s="36">
        <f t="shared" si="25"/>
        <v>23903</v>
      </c>
      <c r="S86" s="36">
        <f t="shared" si="25"/>
        <v>0</v>
      </c>
      <c r="T86" s="36">
        <f t="shared" si="25"/>
        <v>0</v>
      </c>
      <c r="U86" s="36">
        <f t="shared" si="25"/>
        <v>0</v>
      </c>
      <c r="V86" s="36">
        <f t="shared" si="25"/>
        <v>0</v>
      </c>
      <c r="W86" s="36">
        <f t="shared" si="25"/>
        <v>0</v>
      </c>
      <c r="X86" s="36">
        <f t="shared" si="25"/>
        <v>0</v>
      </c>
      <c r="Y86" s="36">
        <f t="shared" si="25"/>
        <v>0</v>
      </c>
      <c r="Z86" s="36">
        <f t="shared" si="25"/>
        <v>0</v>
      </c>
      <c r="AA86" s="1185">
        <f t="shared" si="25"/>
        <v>0</v>
      </c>
    </row>
    <row r="87" spans="1:121" ht="15" customHeight="1" thickBot="1" x14ac:dyDescent="0.25">
      <c r="D87" s="33"/>
      <c r="E87" s="2"/>
      <c r="F87" s="33"/>
      <c r="G87" s="33"/>
      <c r="H87" s="33"/>
      <c r="I87" s="33"/>
      <c r="J87" s="33"/>
      <c r="K87" s="33"/>
      <c r="L87" s="33"/>
    </row>
    <row r="88" spans="1:121" s="747" customFormat="1" ht="24.95" customHeight="1" x14ac:dyDescent="0.25">
      <c r="A88" s="507">
        <v>190</v>
      </c>
      <c r="B88" s="731">
        <v>3632</v>
      </c>
      <c r="C88" s="732">
        <v>6121</v>
      </c>
      <c r="D88" s="733"/>
      <c r="E88" s="734" t="s">
        <v>253</v>
      </c>
      <c r="F88" s="735" t="s">
        <v>123</v>
      </c>
      <c r="G88" s="736">
        <v>419</v>
      </c>
      <c r="H88" s="736">
        <v>2019</v>
      </c>
      <c r="I88" s="737">
        <v>2020</v>
      </c>
      <c r="J88" s="685">
        <f>K88+L88+M88+SUM(R88:AA88)</f>
        <v>42000</v>
      </c>
      <c r="K88" s="738">
        <v>0</v>
      </c>
      <c r="L88" s="739">
        <v>0</v>
      </c>
      <c r="M88" s="686">
        <f>N88+O88+P88+Q88</f>
        <v>2000</v>
      </c>
      <c r="N88" s="740">
        <v>0</v>
      </c>
      <c r="O88" s="741">
        <f>2000</f>
        <v>2000</v>
      </c>
      <c r="P88" s="742">
        <v>0</v>
      </c>
      <c r="Q88" s="739">
        <v>0</v>
      </c>
      <c r="R88" s="743">
        <f>18000+2000</f>
        <v>20000</v>
      </c>
      <c r="S88" s="742">
        <v>0</v>
      </c>
      <c r="T88" s="739">
        <v>20000</v>
      </c>
      <c r="U88" s="744">
        <v>0</v>
      </c>
      <c r="V88" s="745">
        <v>0</v>
      </c>
      <c r="W88" s="746">
        <v>0</v>
      </c>
      <c r="X88" s="744">
        <v>0</v>
      </c>
      <c r="Y88" s="745">
        <v>0</v>
      </c>
      <c r="Z88" s="1193">
        <v>0</v>
      </c>
      <c r="AA88" s="1194">
        <v>0</v>
      </c>
      <c r="AB88" s="619"/>
      <c r="AC88" s="619"/>
      <c r="AD88" s="619"/>
      <c r="AE88" s="619"/>
      <c r="AF88" s="619"/>
      <c r="AG88" s="619"/>
      <c r="AH88" s="619"/>
      <c r="AI88" s="619"/>
      <c r="AJ88" s="619"/>
      <c r="AK88" s="619"/>
      <c r="AL88" s="619"/>
      <c r="AM88" s="619"/>
      <c r="AN88" s="619"/>
      <c r="AO88" s="619"/>
      <c r="AP88" s="619"/>
      <c r="AQ88" s="619"/>
      <c r="AR88" s="619"/>
      <c r="AS88" s="619"/>
      <c r="AT88" s="619"/>
      <c r="AU88" s="619"/>
      <c r="AV88" s="619"/>
      <c r="AW88" s="619"/>
      <c r="AX88" s="619"/>
      <c r="AY88" s="619"/>
      <c r="AZ88" s="619"/>
      <c r="BA88" s="619"/>
      <c r="BB88" s="619"/>
      <c r="BC88" s="619"/>
      <c r="BD88" s="619"/>
      <c r="BE88" s="619"/>
      <c r="BF88" s="619"/>
      <c r="BG88" s="619"/>
      <c r="BH88" s="619"/>
      <c r="BI88" s="619"/>
      <c r="BJ88" s="619"/>
      <c r="BK88" s="619"/>
      <c r="BL88" s="619"/>
      <c r="BM88" s="619"/>
      <c r="BN88" s="619"/>
      <c r="BO88" s="619"/>
      <c r="BP88" s="619"/>
      <c r="BQ88" s="619"/>
      <c r="BR88" s="619"/>
      <c r="BS88" s="619"/>
      <c r="BT88" s="619"/>
      <c r="BU88" s="619"/>
      <c r="BV88" s="619"/>
      <c r="BW88" s="619"/>
      <c r="BX88" s="619"/>
      <c r="BY88" s="619"/>
      <c r="BZ88" s="619"/>
      <c r="CA88" s="619"/>
      <c r="CB88" s="619"/>
      <c r="CC88" s="619"/>
      <c r="CD88" s="619"/>
      <c r="CE88" s="619"/>
      <c r="CF88" s="619"/>
      <c r="CG88" s="619"/>
      <c r="CH88" s="619"/>
      <c r="CI88" s="619"/>
      <c r="CJ88" s="619"/>
      <c r="CK88" s="619"/>
      <c r="CL88" s="619"/>
      <c r="CM88" s="619"/>
      <c r="CN88" s="619"/>
      <c r="CO88" s="619"/>
      <c r="CP88" s="619"/>
      <c r="CQ88" s="619"/>
      <c r="CR88" s="619"/>
      <c r="CS88" s="619"/>
      <c r="CT88" s="619"/>
      <c r="CU88" s="619"/>
      <c r="CV88" s="619"/>
      <c r="CW88" s="619"/>
      <c r="CX88" s="619"/>
      <c r="CY88" s="619"/>
      <c r="CZ88" s="619"/>
      <c r="DA88" s="619"/>
      <c r="DB88" s="619"/>
      <c r="DC88" s="619"/>
      <c r="DD88" s="619"/>
      <c r="DE88" s="619"/>
      <c r="DF88" s="619"/>
      <c r="DG88" s="619"/>
      <c r="DH88" s="619"/>
      <c r="DI88" s="619"/>
      <c r="DJ88" s="619"/>
      <c r="DK88" s="619"/>
      <c r="DL88" s="619"/>
      <c r="DM88" s="619"/>
      <c r="DN88" s="619"/>
      <c r="DO88" s="619"/>
      <c r="DP88" s="619"/>
      <c r="DQ88" s="619"/>
    </row>
    <row r="89" spans="1:121" s="23" customFormat="1" ht="24.95" customHeight="1" x14ac:dyDescent="0.25">
      <c r="A89" s="476">
        <v>190</v>
      </c>
      <c r="B89" s="781">
        <v>3639</v>
      </c>
      <c r="C89" s="782">
        <v>6121</v>
      </c>
      <c r="D89" s="471">
        <v>8225</v>
      </c>
      <c r="E89" s="729" t="s">
        <v>259</v>
      </c>
      <c r="F89" s="110"/>
      <c r="G89" s="111">
        <v>400</v>
      </c>
      <c r="H89" s="111">
        <v>2018</v>
      </c>
      <c r="I89" s="112">
        <v>2019</v>
      </c>
      <c r="J89" s="462">
        <f>K89+L89+M89+SUM(R89:AA89)</f>
        <v>20500</v>
      </c>
      <c r="K89" s="463">
        <v>0</v>
      </c>
      <c r="L89" s="464">
        <v>500</v>
      </c>
      <c r="M89" s="465">
        <f>N89+O89+P89+Q89</f>
        <v>1000</v>
      </c>
      <c r="N89" s="466">
        <v>0</v>
      </c>
      <c r="O89" s="475">
        <f>1000-1000</f>
        <v>0</v>
      </c>
      <c r="P89" s="467">
        <v>0</v>
      </c>
      <c r="Q89" s="552">
        <v>1000</v>
      </c>
      <c r="R89" s="469">
        <v>19000</v>
      </c>
      <c r="S89" s="468">
        <v>0</v>
      </c>
      <c r="T89" s="464">
        <v>0</v>
      </c>
      <c r="U89" s="722">
        <v>0</v>
      </c>
      <c r="V89" s="467">
        <v>0</v>
      </c>
      <c r="W89" s="464">
        <v>0</v>
      </c>
      <c r="X89" s="723">
        <v>0</v>
      </c>
      <c r="Y89" s="467">
        <v>0</v>
      </c>
      <c r="Z89" s="468">
        <v>0</v>
      </c>
      <c r="AA89" s="478">
        <v>0</v>
      </c>
      <c r="AB89" s="25"/>
      <c r="AC89" s="25"/>
      <c r="AD89" s="25"/>
      <c r="AE89" s="25"/>
      <c r="AF89" s="25"/>
      <c r="AG89" s="25"/>
      <c r="AH89" s="25"/>
      <c r="AI89" s="25"/>
      <c r="AJ89" s="25"/>
      <c r="AK89" s="25"/>
      <c r="AL89" s="25"/>
      <c r="AM89" s="25"/>
      <c r="AN89" s="25"/>
      <c r="AO89" s="25"/>
      <c r="AP89" s="25"/>
      <c r="AQ89" s="25"/>
      <c r="AR89" s="25"/>
      <c r="AS89" s="25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  <c r="BF89" s="25"/>
      <c r="BG89" s="25"/>
      <c r="BH89" s="25"/>
      <c r="BI89" s="25"/>
      <c r="BJ89" s="25"/>
      <c r="BK89" s="25"/>
      <c r="BL89" s="25"/>
      <c r="BM89" s="25"/>
      <c r="BN89" s="25"/>
      <c r="BO89" s="25"/>
      <c r="BP89" s="25"/>
      <c r="BQ89" s="25"/>
      <c r="BR89" s="25"/>
      <c r="BS89" s="25"/>
      <c r="BT89" s="25"/>
      <c r="BU89" s="25"/>
      <c r="BV89" s="25"/>
      <c r="BW89" s="25"/>
      <c r="BX89" s="25"/>
      <c r="BY89" s="25"/>
      <c r="BZ89" s="25"/>
      <c r="CA89" s="25"/>
      <c r="CB89" s="25"/>
      <c r="CC89" s="25"/>
      <c r="CD89" s="25"/>
      <c r="CE89" s="25"/>
      <c r="CF89" s="25"/>
      <c r="CG89" s="25"/>
      <c r="CH89" s="25"/>
      <c r="CI89" s="25"/>
      <c r="CJ89" s="25"/>
      <c r="CK89" s="25"/>
      <c r="CL89" s="25"/>
      <c r="CM89" s="25"/>
      <c r="CN89" s="25"/>
      <c r="CO89" s="25"/>
      <c r="CP89" s="25"/>
      <c r="CQ89" s="25"/>
      <c r="CR89" s="25"/>
      <c r="CS89" s="25"/>
      <c r="CT89" s="25"/>
      <c r="CU89" s="25"/>
      <c r="CV89" s="25"/>
      <c r="CW89" s="25"/>
      <c r="CX89" s="25"/>
      <c r="CY89" s="25"/>
      <c r="CZ89" s="25"/>
      <c r="DA89" s="25"/>
      <c r="DB89" s="25"/>
      <c r="DC89" s="25"/>
      <c r="DD89" s="25"/>
      <c r="DE89" s="25"/>
      <c r="DF89" s="25"/>
      <c r="DG89" s="25"/>
      <c r="DH89" s="25"/>
      <c r="DI89" s="25"/>
      <c r="DJ89" s="25"/>
      <c r="DK89" s="25"/>
      <c r="DL89" s="25"/>
      <c r="DM89" s="25"/>
      <c r="DN89" s="25"/>
      <c r="DO89" s="25"/>
      <c r="DP89" s="25"/>
      <c r="DQ89" s="25"/>
    </row>
    <row r="90" spans="1:121" s="747" customFormat="1" ht="24.95" customHeight="1" x14ac:dyDescent="0.25">
      <c r="A90" s="485">
        <v>190</v>
      </c>
      <c r="B90" s="610">
        <v>3744</v>
      </c>
      <c r="C90" s="784">
        <v>6315</v>
      </c>
      <c r="D90" s="785"/>
      <c r="E90" s="576" t="s">
        <v>262</v>
      </c>
      <c r="F90" s="765" t="s">
        <v>263</v>
      </c>
      <c r="G90" s="440">
        <v>400</v>
      </c>
      <c r="H90" s="440">
        <v>2011</v>
      </c>
      <c r="I90" s="766">
        <v>2019</v>
      </c>
      <c r="J90" s="135">
        <f>K90+L90+M90+SUM(R90:AA90)</f>
        <v>9500</v>
      </c>
      <c r="K90" s="786">
        <v>0</v>
      </c>
      <c r="L90" s="143">
        <v>0</v>
      </c>
      <c r="M90" s="138">
        <f>N90+O90+P90+Q90</f>
        <v>0</v>
      </c>
      <c r="N90" s="787">
        <v>0</v>
      </c>
      <c r="O90" s="140">
        <f>500-500</f>
        <v>0</v>
      </c>
      <c r="P90" s="448">
        <v>0</v>
      </c>
      <c r="Q90" s="444">
        <v>0</v>
      </c>
      <c r="R90" s="449">
        <v>3500</v>
      </c>
      <c r="S90" s="448">
        <v>0</v>
      </c>
      <c r="T90" s="444">
        <v>0</v>
      </c>
      <c r="U90" s="449">
        <v>6000</v>
      </c>
      <c r="V90" s="141">
        <v>0</v>
      </c>
      <c r="W90" s="137">
        <v>0</v>
      </c>
      <c r="X90" s="142">
        <v>0</v>
      </c>
      <c r="Y90" s="141">
        <v>0</v>
      </c>
      <c r="Z90" s="137">
        <v>0</v>
      </c>
      <c r="AA90" s="135">
        <v>0</v>
      </c>
      <c r="AB90" s="619"/>
      <c r="AC90" s="619"/>
      <c r="AD90" s="619"/>
      <c r="AE90" s="619"/>
      <c r="AF90" s="619"/>
      <c r="AG90" s="619"/>
      <c r="AH90" s="619"/>
      <c r="AI90" s="619"/>
      <c r="AJ90" s="619"/>
      <c r="AK90" s="619"/>
      <c r="AL90" s="619"/>
      <c r="AM90" s="619"/>
      <c r="AN90" s="619"/>
      <c r="AO90" s="619"/>
      <c r="AP90" s="619"/>
      <c r="AQ90" s="619"/>
      <c r="AR90" s="619"/>
      <c r="AS90" s="619"/>
      <c r="AT90" s="619"/>
      <c r="AU90" s="619"/>
      <c r="AV90" s="619"/>
      <c r="AW90" s="619"/>
      <c r="AX90" s="619"/>
      <c r="AY90" s="619"/>
      <c r="AZ90" s="619"/>
      <c r="BA90" s="619"/>
      <c r="BB90" s="619"/>
      <c r="BC90" s="619"/>
      <c r="BD90" s="619"/>
      <c r="BE90" s="619"/>
      <c r="BF90" s="619"/>
      <c r="BG90" s="619"/>
      <c r="BH90" s="619"/>
      <c r="BI90" s="619"/>
      <c r="BJ90" s="619"/>
      <c r="BK90" s="619"/>
      <c r="BL90" s="619"/>
      <c r="BM90" s="619"/>
      <c r="BN90" s="619"/>
      <c r="BO90" s="619"/>
      <c r="BP90" s="619"/>
      <c r="BQ90" s="619"/>
      <c r="BR90" s="619"/>
      <c r="BS90" s="619"/>
      <c r="BT90" s="619"/>
      <c r="BU90" s="619"/>
      <c r="BV90" s="619"/>
      <c r="BW90" s="619"/>
      <c r="BX90" s="619"/>
      <c r="BY90" s="619"/>
      <c r="BZ90" s="619"/>
      <c r="CA90" s="619"/>
      <c r="CB90" s="619"/>
      <c r="CC90" s="619"/>
      <c r="CD90" s="619"/>
      <c r="CE90" s="619"/>
      <c r="CF90" s="619"/>
      <c r="CG90" s="619"/>
      <c r="CH90" s="619"/>
      <c r="CI90" s="619"/>
      <c r="CJ90" s="619"/>
      <c r="CK90" s="619"/>
      <c r="CL90" s="619"/>
      <c r="CM90" s="619"/>
      <c r="CN90" s="619"/>
      <c r="CO90" s="619"/>
      <c r="CP90" s="619"/>
      <c r="CQ90" s="619"/>
      <c r="CR90" s="619"/>
      <c r="CS90" s="619"/>
      <c r="CT90" s="619"/>
      <c r="CU90" s="619"/>
      <c r="CV90" s="619"/>
      <c r="CW90" s="619"/>
      <c r="CX90" s="619"/>
      <c r="CY90" s="619"/>
      <c r="CZ90" s="619"/>
      <c r="DA90" s="619"/>
      <c r="DB90" s="619"/>
      <c r="DC90" s="619"/>
      <c r="DD90" s="619"/>
      <c r="DE90" s="619"/>
      <c r="DF90" s="619"/>
      <c r="DG90" s="619"/>
      <c r="DH90" s="619"/>
      <c r="DI90" s="619"/>
      <c r="DJ90" s="619"/>
      <c r="DK90" s="619"/>
      <c r="DL90" s="619"/>
      <c r="DM90" s="619"/>
      <c r="DN90" s="619"/>
      <c r="DO90" s="619"/>
      <c r="DP90" s="619"/>
      <c r="DQ90" s="619"/>
    </row>
    <row r="91" spans="1:121" s="23" customFormat="1" ht="24.95" customHeight="1" x14ac:dyDescent="0.25">
      <c r="A91" s="476">
        <v>190</v>
      </c>
      <c r="B91" s="789">
        <v>3745</v>
      </c>
      <c r="C91" s="481"/>
      <c r="D91" s="792"/>
      <c r="E91" s="793" t="s">
        <v>264</v>
      </c>
      <c r="F91" s="577"/>
      <c r="G91" s="578">
        <v>400</v>
      </c>
      <c r="H91" s="578">
        <v>2018</v>
      </c>
      <c r="I91" s="794">
        <v>2022</v>
      </c>
      <c r="J91" s="795">
        <f>K91+L91+M91+SUM(R91:AA91)</f>
        <v>63392</v>
      </c>
      <c r="K91" s="463">
        <v>0</v>
      </c>
      <c r="L91" s="464">
        <v>0</v>
      </c>
      <c r="M91" s="465">
        <f>N91+O91+P91+Q91</f>
        <v>3392</v>
      </c>
      <c r="N91" s="466">
        <v>392</v>
      </c>
      <c r="O91" s="475">
        <v>3000</v>
      </c>
      <c r="P91" s="467">
        <v>0</v>
      </c>
      <c r="Q91" s="464">
        <v>0</v>
      </c>
      <c r="R91" s="469">
        <v>20000</v>
      </c>
      <c r="S91" s="467">
        <v>0</v>
      </c>
      <c r="T91" s="464">
        <v>0</v>
      </c>
      <c r="U91" s="469">
        <v>20000</v>
      </c>
      <c r="V91" s="467">
        <v>0</v>
      </c>
      <c r="W91" s="464">
        <v>0</v>
      </c>
      <c r="X91" s="469">
        <v>20000</v>
      </c>
      <c r="Y91" s="467">
        <v>0</v>
      </c>
      <c r="Z91" s="468">
        <v>0</v>
      </c>
      <c r="AA91" s="478">
        <v>0</v>
      </c>
      <c r="AB91" s="1062"/>
      <c r="AC91" s="25"/>
      <c r="AD91" s="25"/>
      <c r="AE91" s="25"/>
      <c r="AF91" s="25"/>
      <c r="AG91" s="25"/>
      <c r="AH91" s="25"/>
      <c r="AI91" s="25"/>
      <c r="AJ91" s="25"/>
      <c r="AK91" s="25"/>
      <c r="AL91" s="25"/>
      <c r="AM91" s="25"/>
      <c r="AN91" s="25"/>
      <c r="AO91" s="25"/>
      <c r="AP91" s="25"/>
      <c r="AQ91" s="25"/>
      <c r="AR91" s="25"/>
      <c r="AS91" s="25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  <c r="BF91" s="25"/>
      <c r="BG91" s="25"/>
      <c r="BH91" s="25"/>
      <c r="BI91" s="25"/>
      <c r="BJ91" s="25"/>
      <c r="BK91" s="25"/>
      <c r="BL91" s="25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BZ91" s="25"/>
      <c r="CA91" s="25"/>
      <c r="CB91" s="25"/>
      <c r="CC91" s="25"/>
      <c r="CD91" s="25"/>
      <c r="CE91" s="25"/>
      <c r="CF91" s="25"/>
      <c r="CG91" s="25"/>
      <c r="CH91" s="25"/>
      <c r="CI91" s="25"/>
      <c r="CJ91" s="25"/>
      <c r="CK91" s="25"/>
      <c r="CL91" s="25"/>
      <c r="CM91" s="25"/>
      <c r="CN91" s="25"/>
      <c r="CO91" s="25"/>
      <c r="CP91" s="25"/>
      <c r="CQ91" s="25"/>
      <c r="CR91" s="25"/>
      <c r="CS91" s="25"/>
      <c r="CT91" s="25"/>
      <c r="CU91" s="25"/>
      <c r="CV91" s="25"/>
      <c r="CW91" s="25"/>
      <c r="CX91" s="25"/>
      <c r="CY91" s="25"/>
      <c r="CZ91" s="25"/>
      <c r="DA91" s="25"/>
      <c r="DB91" s="25"/>
      <c r="DC91" s="25"/>
      <c r="DD91" s="25"/>
      <c r="DE91" s="25"/>
      <c r="DF91" s="25"/>
      <c r="DG91" s="25"/>
      <c r="DH91" s="25"/>
      <c r="DI91" s="25"/>
      <c r="DJ91" s="25"/>
      <c r="DK91" s="25"/>
      <c r="DL91" s="25"/>
      <c r="DM91" s="25"/>
      <c r="DN91" s="25"/>
      <c r="DO91" s="25"/>
      <c r="DP91" s="25"/>
      <c r="DQ91" s="25"/>
    </row>
    <row r="92" spans="1:121" s="747" customFormat="1" ht="24.95" customHeight="1" thickBot="1" x14ac:dyDescent="0.3">
      <c r="A92" s="559">
        <v>190</v>
      </c>
      <c r="B92" s="768">
        <v>3722</v>
      </c>
      <c r="C92" s="769">
        <v>6121</v>
      </c>
      <c r="D92" s="770"/>
      <c r="E92" s="771" t="s">
        <v>261</v>
      </c>
      <c r="F92" s="749"/>
      <c r="G92" s="750">
        <v>400</v>
      </c>
      <c r="H92" s="750">
        <v>2019</v>
      </c>
      <c r="I92" s="751">
        <v>2019</v>
      </c>
      <c r="J92" s="772">
        <f>K92+L92+M92+SUM(R92:AA92)</f>
        <v>30000</v>
      </c>
      <c r="K92" s="773">
        <v>0</v>
      </c>
      <c r="L92" s="774">
        <v>0</v>
      </c>
      <c r="M92" s="775">
        <f>N92+O92+P92+Q92</f>
        <v>5000</v>
      </c>
      <c r="N92" s="776">
        <v>0</v>
      </c>
      <c r="O92" s="777">
        <v>0</v>
      </c>
      <c r="P92" s="448">
        <v>0</v>
      </c>
      <c r="Q92" s="730">
        <v>5000</v>
      </c>
      <c r="R92" s="449">
        <v>10000</v>
      </c>
      <c r="S92" s="448">
        <v>0</v>
      </c>
      <c r="T92" s="444">
        <v>0</v>
      </c>
      <c r="U92" s="449">
        <v>15000</v>
      </c>
      <c r="V92" s="778">
        <v>0</v>
      </c>
      <c r="W92" s="779">
        <v>0</v>
      </c>
      <c r="X92" s="780">
        <v>0</v>
      </c>
      <c r="Y92" s="778">
        <v>0</v>
      </c>
      <c r="Z92" s="779">
        <v>0</v>
      </c>
      <c r="AA92" s="772">
        <v>0</v>
      </c>
      <c r="AB92" s="619"/>
      <c r="AC92" s="619"/>
      <c r="AD92" s="619"/>
      <c r="AE92" s="619"/>
      <c r="AF92" s="619"/>
      <c r="AG92" s="619"/>
      <c r="AH92" s="619"/>
      <c r="AI92" s="619"/>
      <c r="AJ92" s="619"/>
      <c r="AK92" s="619"/>
      <c r="AL92" s="619"/>
      <c r="AM92" s="619"/>
      <c r="AN92" s="619"/>
      <c r="AO92" s="619"/>
      <c r="AP92" s="619"/>
      <c r="AQ92" s="619"/>
      <c r="AR92" s="619"/>
      <c r="AS92" s="619"/>
      <c r="AT92" s="619"/>
      <c r="AU92" s="619"/>
      <c r="AV92" s="619"/>
      <c r="AW92" s="619"/>
      <c r="AX92" s="619"/>
      <c r="AY92" s="619"/>
      <c r="AZ92" s="619"/>
      <c r="BA92" s="619"/>
      <c r="BB92" s="619"/>
      <c r="BC92" s="619"/>
      <c r="BD92" s="619"/>
      <c r="BE92" s="619"/>
      <c r="BF92" s="619"/>
      <c r="BG92" s="619"/>
      <c r="BH92" s="619"/>
      <c r="BI92" s="619"/>
      <c r="BJ92" s="619"/>
      <c r="BK92" s="619"/>
      <c r="BL92" s="619"/>
      <c r="BM92" s="619"/>
      <c r="BN92" s="619"/>
      <c r="BO92" s="619"/>
      <c r="BP92" s="619"/>
      <c r="BQ92" s="619"/>
      <c r="BR92" s="619"/>
      <c r="BS92" s="619"/>
      <c r="BT92" s="619"/>
      <c r="BU92" s="619"/>
      <c r="BV92" s="619"/>
      <c r="BW92" s="619"/>
      <c r="BX92" s="619"/>
      <c r="BY92" s="619"/>
      <c r="BZ92" s="619"/>
      <c r="CA92" s="619"/>
      <c r="CB92" s="619"/>
      <c r="CC92" s="619"/>
      <c r="CD92" s="619"/>
      <c r="CE92" s="619"/>
      <c r="CF92" s="619"/>
      <c r="CG92" s="619"/>
      <c r="CH92" s="619"/>
      <c r="CI92" s="619"/>
      <c r="CJ92" s="619"/>
      <c r="CK92" s="619"/>
      <c r="CL92" s="619"/>
      <c r="CM92" s="619"/>
      <c r="CN92" s="619"/>
      <c r="CO92" s="619"/>
      <c r="CP92" s="619"/>
      <c r="CQ92" s="619"/>
      <c r="CR92" s="619"/>
      <c r="CS92" s="619"/>
      <c r="CT92" s="619"/>
      <c r="CU92" s="619"/>
      <c r="CV92" s="619"/>
      <c r="CW92" s="619"/>
      <c r="CX92" s="619"/>
      <c r="CY92" s="619"/>
      <c r="CZ92" s="619"/>
      <c r="DA92" s="619"/>
      <c r="DB92" s="619"/>
      <c r="DC92" s="619"/>
      <c r="DD92" s="619"/>
      <c r="DE92" s="619"/>
      <c r="DF92" s="619"/>
      <c r="DG92" s="619"/>
      <c r="DH92" s="619"/>
      <c r="DI92" s="619"/>
      <c r="DJ92" s="619"/>
      <c r="DK92" s="619"/>
      <c r="DL92" s="619"/>
      <c r="DM92" s="619"/>
      <c r="DN92" s="619"/>
      <c r="DO92" s="619"/>
      <c r="DP92" s="619"/>
      <c r="DQ92" s="619"/>
    </row>
    <row r="93" spans="1:121" ht="24.95" customHeight="1" thickBot="1" x14ac:dyDescent="0.3">
      <c r="D93" s="33"/>
      <c r="E93" s="1490" t="s">
        <v>54</v>
      </c>
      <c r="F93" s="1490"/>
      <c r="G93" s="1490"/>
      <c r="H93" s="1490"/>
      <c r="I93" s="1490"/>
      <c r="J93" s="1490"/>
      <c r="K93" s="1490"/>
      <c r="L93" s="1490"/>
      <c r="M93" s="22">
        <f t="shared" ref="M93:AA93" si="26">SUM(M88:M92)</f>
        <v>11392</v>
      </c>
      <c r="N93" s="22">
        <f t="shared" si="26"/>
        <v>392</v>
      </c>
      <c r="O93" s="1349">
        <f t="shared" si="26"/>
        <v>5000</v>
      </c>
      <c r="P93" s="22">
        <f t="shared" si="26"/>
        <v>0</v>
      </c>
      <c r="Q93" s="22">
        <f t="shared" si="26"/>
        <v>6000</v>
      </c>
      <c r="R93" s="22">
        <f t="shared" si="26"/>
        <v>72500</v>
      </c>
      <c r="S93" s="22">
        <f t="shared" si="26"/>
        <v>0</v>
      </c>
      <c r="T93" s="22">
        <f t="shared" si="26"/>
        <v>20000</v>
      </c>
      <c r="U93" s="22">
        <f t="shared" si="26"/>
        <v>41000</v>
      </c>
      <c r="V93" s="22">
        <f t="shared" si="26"/>
        <v>0</v>
      </c>
      <c r="W93" s="22">
        <f t="shared" si="26"/>
        <v>0</v>
      </c>
      <c r="X93" s="22">
        <f t="shared" si="26"/>
        <v>20000</v>
      </c>
      <c r="Y93" s="22">
        <f t="shared" si="26"/>
        <v>0</v>
      </c>
      <c r="Z93" s="1173">
        <f t="shared" si="26"/>
        <v>0</v>
      </c>
      <c r="AA93" s="1187">
        <f t="shared" si="26"/>
        <v>0</v>
      </c>
    </row>
    <row r="94" spans="1:121" s="688" customFormat="1" ht="21" customHeight="1" thickBot="1" x14ac:dyDescent="0.25">
      <c r="D94" s="689"/>
      <c r="E94" s="1216"/>
      <c r="F94" s="689"/>
      <c r="G94" s="689"/>
      <c r="H94" s="689"/>
      <c r="I94" s="689"/>
      <c r="J94" s="689"/>
      <c r="K94" s="689"/>
      <c r="L94" s="689"/>
      <c r="AB94" s="1179"/>
      <c r="AC94" s="1179"/>
      <c r="AD94" s="1179"/>
      <c r="AE94" s="1179"/>
      <c r="AF94" s="1179"/>
      <c r="AG94" s="1179"/>
      <c r="AH94" s="1179"/>
      <c r="AI94" s="1179"/>
      <c r="AJ94" s="1179"/>
      <c r="AK94" s="1179"/>
      <c r="AL94" s="1179"/>
      <c r="AM94" s="1179"/>
      <c r="AN94" s="1179"/>
      <c r="AO94" s="1179"/>
      <c r="AP94" s="1179"/>
      <c r="AQ94" s="1179"/>
      <c r="AR94" s="1179"/>
      <c r="AS94" s="1179"/>
      <c r="AT94" s="1179"/>
      <c r="AU94" s="1179"/>
      <c r="AV94" s="1179"/>
      <c r="AW94" s="1179"/>
      <c r="AX94" s="1179"/>
      <c r="AY94" s="1179"/>
      <c r="AZ94" s="1179"/>
      <c r="BA94" s="1179"/>
      <c r="BB94" s="1179"/>
      <c r="BC94" s="1179"/>
      <c r="BD94" s="1179"/>
      <c r="BE94" s="1179"/>
      <c r="BF94" s="1179"/>
      <c r="BG94" s="1179"/>
      <c r="BH94" s="1179"/>
      <c r="BI94" s="1179"/>
      <c r="BJ94" s="1179"/>
      <c r="BK94" s="1179"/>
      <c r="BL94" s="1179"/>
      <c r="BM94" s="1179"/>
      <c r="BN94" s="1179"/>
      <c r="BO94" s="1179"/>
      <c r="BP94" s="1179"/>
      <c r="BQ94" s="1179"/>
      <c r="BR94" s="1179"/>
      <c r="BS94" s="1179"/>
      <c r="BT94" s="1179"/>
      <c r="BU94" s="1179"/>
      <c r="BV94" s="1179"/>
      <c r="BW94" s="1179"/>
      <c r="BX94" s="1179"/>
      <c r="BY94" s="1179"/>
      <c r="BZ94" s="1179"/>
      <c r="CA94" s="1179"/>
      <c r="CB94" s="1179"/>
      <c r="CC94" s="1179"/>
      <c r="CD94" s="1179"/>
      <c r="CE94" s="1179"/>
      <c r="CF94" s="1179"/>
      <c r="CG94" s="1179"/>
      <c r="CH94" s="1179"/>
      <c r="CI94" s="1179"/>
      <c r="CJ94" s="1179"/>
      <c r="CK94" s="1179"/>
      <c r="CL94" s="1179"/>
      <c r="CM94" s="1179"/>
      <c r="CN94" s="1179"/>
      <c r="CO94" s="1179"/>
      <c r="CP94" s="1179"/>
      <c r="CQ94" s="1179"/>
      <c r="CR94" s="1179"/>
      <c r="CS94" s="1179"/>
      <c r="CT94" s="1179"/>
      <c r="CU94" s="1179"/>
      <c r="CV94" s="1179"/>
      <c r="CW94" s="1179"/>
      <c r="CX94" s="1179"/>
      <c r="CY94" s="1179"/>
      <c r="CZ94" s="1179"/>
      <c r="DA94" s="1179"/>
      <c r="DB94" s="1179"/>
      <c r="DC94" s="1179"/>
      <c r="DD94" s="1179"/>
      <c r="DE94" s="1179"/>
      <c r="DF94" s="1179"/>
      <c r="DG94" s="1179"/>
      <c r="DH94" s="1179"/>
      <c r="DI94" s="1179"/>
      <c r="DJ94" s="1179"/>
      <c r="DK94" s="1179"/>
      <c r="DL94" s="1179"/>
      <c r="DM94" s="1179"/>
      <c r="DN94" s="1179"/>
      <c r="DO94" s="1179"/>
      <c r="DP94" s="1179"/>
      <c r="DQ94" s="1179"/>
    </row>
    <row r="95" spans="1:121" s="717" customFormat="1" ht="24.95" customHeight="1" x14ac:dyDescent="0.25">
      <c r="A95" s="701">
        <v>210</v>
      </c>
      <c r="B95" s="702">
        <v>3312</v>
      </c>
      <c r="C95" s="703"/>
      <c r="D95" s="704">
        <v>8230</v>
      </c>
      <c r="E95" s="705" t="s">
        <v>241</v>
      </c>
      <c r="F95" s="706"/>
      <c r="G95" s="707">
        <v>400</v>
      </c>
      <c r="H95" s="708">
        <v>2019</v>
      </c>
      <c r="I95" s="709">
        <v>2025</v>
      </c>
      <c r="J95" s="685">
        <f>K95+L95+M95+SUM(R95:AA95)</f>
        <v>3032</v>
      </c>
      <c r="K95" s="710">
        <v>0</v>
      </c>
      <c r="L95" s="711">
        <v>0</v>
      </c>
      <c r="M95" s="686">
        <f>N95+O95+P95+Q95</f>
        <v>3032</v>
      </c>
      <c r="N95" s="712">
        <v>3032</v>
      </c>
      <c r="O95" s="713">
        <f>50000-50000</f>
        <v>0</v>
      </c>
      <c r="P95" s="714">
        <v>0</v>
      </c>
      <c r="Q95" s="711">
        <v>0</v>
      </c>
      <c r="R95" s="715">
        <v>0</v>
      </c>
      <c r="S95" s="714">
        <v>0</v>
      </c>
      <c r="T95" s="716">
        <v>0</v>
      </c>
      <c r="U95" s="715">
        <v>0</v>
      </c>
      <c r="V95" s="714">
        <v>0</v>
      </c>
      <c r="W95" s="711">
        <v>0</v>
      </c>
      <c r="X95" s="715">
        <v>0</v>
      </c>
      <c r="Y95" s="714">
        <v>0</v>
      </c>
      <c r="Z95" s="711">
        <v>0</v>
      </c>
      <c r="AA95" s="1196">
        <v>0</v>
      </c>
      <c r="AB95" s="25"/>
      <c r="AC95" s="25"/>
      <c r="AD95" s="25"/>
      <c r="AE95" s="25"/>
      <c r="AF95" s="25"/>
      <c r="AG95" s="25"/>
      <c r="AH95" s="25"/>
      <c r="AI95" s="25"/>
      <c r="AJ95" s="25"/>
      <c r="AK95" s="25"/>
      <c r="AL95" s="25"/>
      <c r="AM95" s="25"/>
      <c r="AN95" s="25"/>
      <c r="AO95" s="25"/>
      <c r="AP95" s="25"/>
      <c r="AQ95" s="25"/>
      <c r="AR95" s="25"/>
      <c r="AS95" s="25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  <c r="BF95" s="25"/>
      <c r="BG95" s="25"/>
      <c r="BH95" s="25"/>
      <c r="BI95" s="25"/>
      <c r="BJ95" s="25"/>
      <c r="BK95" s="25"/>
      <c r="BL95" s="25"/>
      <c r="BM95" s="2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BZ95" s="25"/>
      <c r="CA95" s="25"/>
      <c r="CB95" s="25"/>
      <c r="CC95" s="25"/>
      <c r="CD95" s="25"/>
      <c r="CE95" s="25"/>
      <c r="CF95" s="25"/>
      <c r="CG95" s="25"/>
      <c r="CH95" s="25"/>
      <c r="CI95" s="25"/>
      <c r="CJ95" s="25"/>
      <c r="CK95" s="25"/>
      <c r="CL95" s="25"/>
      <c r="CM95" s="25"/>
      <c r="CN95" s="25"/>
      <c r="CO95" s="25"/>
      <c r="CP95" s="25"/>
      <c r="CQ95" s="25"/>
      <c r="CR95" s="25"/>
      <c r="CS95" s="25"/>
      <c r="CT95" s="25"/>
      <c r="CU95" s="25"/>
      <c r="CV95" s="25"/>
      <c r="CW95" s="25"/>
      <c r="CX95" s="25"/>
      <c r="CY95" s="25"/>
      <c r="CZ95" s="25"/>
      <c r="DA95" s="25"/>
      <c r="DB95" s="25"/>
      <c r="DC95" s="25"/>
      <c r="DD95" s="25"/>
      <c r="DE95" s="25"/>
      <c r="DF95" s="25"/>
      <c r="DG95" s="25"/>
      <c r="DH95" s="25"/>
      <c r="DI95" s="25"/>
      <c r="DJ95" s="25"/>
      <c r="DK95" s="25"/>
      <c r="DL95" s="25"/>
      <c r="DM95" s="25"/>
      <c r="DN95" s="25"/>
      <c r="DO95" s="25"/>
      <c r="DP95" s="25"/>
      <c r="DQ95" s="25"/>
    </row>
    <row r="96" spans="1:121" s="682" customFormat="1" ht="24.95" customHeight="1" x14ac:dyDescent="0.25">
      <c r="A96" s="690">
        <v>210</v>
      </c>
      <c r="B96" s="691">
        <v>3635</v>
      </c>
      <c r="C96" s="692">
        <v>6119</v>
      </c>
      <c r="D96" s="693"/>
      <c r="E96" s="694" t="s">
        <v>254</v>
      </c>
      <c r="F96" s="695"/>
      <c r="G96" s="696">
        <v>400</v>
      </c>
      <c r="H96" s="696">
        <v>2019</v>
      </c>
      <c r="I96" s="697">
        <v>2019</v>
      </c>
      <c r="J96" s="442">
        <f>K96+L96+M96+SUM(R96:AA96)</f>
        <v>500</v>
      </c>
      <c r="K96" s="698">
        <v>0</v>
      </c>
      <c r="L96" s="244">
        <v>0</v>
      </c>
      <c r="M96" s="445">
        <f>N96+O96+P96+Q96</f>
        <v>500</v>
      </c>
      <c r="N96" s="699">
        <v>0</v>
      </c>
      <c r="O96" s="700">
        <v>500</v>
      </c>
      <c r="P96" s="242">
        <v>0</v>
      </c>
      <c r="Q96" s="246">
        <v>0</v>
      </c>
      <c r="R96" s="245">
        <v>0</v>
      </c>
      <c r="S96" s="242">
        <v>0</v>
      </c>
      <c r="T96" s="246">
        <v>0</v>
      </c>
      <c r="U96" s="245">
        <v>0</v>
      </c>
      <c r="V96" s="242">
        <v>0</v>
      </c>
      <c r="W96" s="246">
        <v>0</v>
      </c>
      <c r="X96" s="245">
        <v>0</v>
      </c>
      <c r="Y96" s="242">
        <v>0</v>
      </c>
      <c r="Z96" s="243">
        <v>0</v>
      </c>
      <c r="AA96" s="1197">
        <v>0</v>
      </c>
      <c r="AB96" s="619"/>
      <c r="AC96" s="619"/>
      <c r="AD96" s="619"/>
      <c r="AE96" s="619"/>
      <c r="AF96" s="619"/>
      <c r="AG96" s="619"/>
      <c r="AH96" s="619"/>
      <c r="AI96" s="619"/>
      <c r="AJ96" s="619"/>
      <c r="AK96" s="619"/>
      <c r="AL96" s="619"/>
      <c r="AM96" s="619"/>
      <c r="AN96" s="619"/>
      <c r="AO96" s="619"/>
      <c r="AP96" s="619"/>
      <c r="AQ96" s="619"/>
      <c r="AR96" s="619"/>
      <c r="AS96" s="619"/>
      <c r="AT96" s="619"/>
      <c r="AU96" s="619"/>
      <c r="AV96" s="619"/>
      <c r="AW96" s="619"/>
      <c r="AX96" s="619"/>
      <c r="AY96" s="619"/>
      <c r="AZ96" s="619"/>
      <c r="BA96" s="619"/>
      <c r="BB96" s="619"/>
      <c r="BC96" s="619"/>
      <c r="BD96" s="619"/>
      <c r="BE96" s="619"/>
      <c r="BF96" s="619"/>
      <c r="BG96" s="619"/>
      <c r="BH96" s="619"/>
      <c r="BI96" s="619"/>
      <c r="BJ96" s="619"/>
      <c r="BK96" s="619"/>
      <c r="BL96" s="619"/>
      <c r="BM96" s="619"/>
      <c r="BN96" s="619"/>
      <c r="BO96" s="619"/>
      <c r="BP96" s="619"/>
      <c r="BQ96" s="619"/>
      <c r="BR96" s="619"/>
      <c r="BS96" s="619"/>
      <c r="BT96" s="619"/>
      <c r="BU96" s="619"/>
      <c r="BV96" s="619"/>
      <c r="BW96" s="619"/>
      <c r="BX96" s="619"/>
      <c r="BY96" s="619"/>
      <c r="BZ96" s="619"/>
      <c r="CA96" s="619"/>
      <c r="CB96" s="619"/>
      <c r="CC96" s="619"/>
      <c r="CD96" s="619"/>
      <c r="CE96" s="619"/>
      <c r="CF96" s="619"/>
      <c r="CG96" s="619"/>
      <c r="CH96" s="619"/>
      <c r="CI96" s="619"/>
      <c r="CJ96" s="619"/>
      <c r="CK96" s="619"/>
      <c r="CL96" s="619"/>
      <c r="CM96" s="619"/>
      <c r="CN96" s="619"/>
      <c r="CO96" s="619"/>
      <c r="CP96" s="619"/>
      <c r="CQ96" s="619"/>
      <c r="CR96" s="619"/>
      <c r="CS96" s="619"/>
      <c r="CT96" s="619"/>
      <c r="CU96" s="619"/>
      <c r="CV96" s="619"/>
      <c r="CW96" s="619"/>
      <c r="CX96" s="619"/>
      <c r="CY96" s="619"/>
      <c r="CZ96" s="619"/>
      <c r="DA96" s="619"/>
      <c r="DB96" s="619"/>
      <c r="DC96" s="619"/>
      <c r="DD96" s="619"/>
      <c r="DE96" s="619"/>
      <c r="DF96" s="619"/>
      <c r="DG96" s="619"/>
      <c r="DH96" s="619"/>
      <c r="DI96" s="619"/>
      <c r="DJ96" s="619"/>
      <c r="DK96" s="619"/>
      <c r="DL96" s="619"/>
      <c r="DM96" s="619"/>
      <c r="DN96" s="619"/>
      <c r="DO96" s="619"/>
      <c r="DP96" s="619"/>
      <c r="DQ96" s="619"/>
    </row>
    <row r="97" spans="1:121" s="31" customFormat="1" ht="24.95" customHeight="1" x14ac:dyDescent="0.25">
      <c r="A97" s="476">
        <v>210</v>
      </c>
      <c r="B97" s="727">
        <v>3699</v>
      </c>
      <c r="C97" s="728"/>
      <c r="D97" s="763"/>
      <c r="E97" s="764" t="s">
        <v>260</v>
      </c>
      <c r="F97" s="765" t="s">
        <v>127</v>
      </c>
      <c r="G97" s="440">
        <v>400</v>
      </c>
      <c r="H97" s="440">
        <v>2019</v>
      </c>
      <c r="I97" s="766">
        <v>2019</v>
      </c>
      <c r="J97" s="442">
        <f>K97+L97+M97+SUM(R97:AA97)</f>
        <v>16000</v>
      </c>
      <c r="K97" s="443">
        <v>0</v>
      </c>
      <c r="L97" s="444">
        <v>0</v>
      </c>
      <c r="M97" s="445">
        <f>N97+O97+P97+Q97</f>
        <v>4000</v>
      </c>
      <c r="N97" s="446">
        <v>0</v>
      </c>
      <c r="O97" s="447">
        <v>4000</v>
      </c>
      <c r="P97" s="448">
        <v>0</v>
      </c>
      <c r="Q97" s="444">
        <v>0</v>
      </c>
      <c r="R97" s="449">
        <v>4000</v>
      </c>
      <c r="S97" s="448">
        <v>0</v>
      </c>
      <c r="T97" s="444">
        <v>0</v>
      </c>
      <c r="U97" s="449">
        <v>4000</v>
      </c>
      <c r="V97" s="448">
        <v>0</v>
      </c>
      <c r="W97" s="444">
        <v>0</v>
      </c>
      <c r="X97" s="449">
        <v>4000</v>
      </c>
      <c r="Y97" s="448">
        <v>0</v>
      </c>
      <c r="Z97" s="492">
        <v>0</v>
      </c>
      <c r="AA97" s="493">
        <v>0</v>
      </c>
      <c r="AB97" s="25"/>
      <c r="AC97" s="25"/>
      <c r="AD97" s="25"/>
      <c r="AE97" s="25"/>
      <c r="AF97" s="25"/>
      <c r="AG97" s="25"/>
      <c r="AH97" s="25"/>
      <c r="AI97" s="25"/>
      <c r="AJ97" s="25"/>
      <c r="AK97" s="25"/>
      <c r="AL97" s="25"/>
      <c r="AM97" s="25"/>
      <c r="AN97" s="25"/>
      <c r="AO97" s="25"/>
      <c r="AP97" s="25"/>
      <c r="AQ97" s="25"/>
      <c r="AR97" s="25"/>
      <c r="AS97" s="25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BZ97" s="25"/>
      <c r="CA97" s="25"/>
      <c r="CB97" s="25"/>
      <c r="CC97" s="25"/>
      <c r="CD97" s="25"/>
      <c r="CE97" s="25"/>
      <c r="CF97" s="25"/>
      <c r="CG97" s="25"/>
      <c r="CH97" s="25"/>
      <c r="CI97" s="25"/>
      <c r="CJ97" s="25"/>
      <c r="CK97" s="25"/>
      <c r="CL97" s="25"/>
      <c r="CM97" s="25"/>
      <c r="CN97" s="25"/>
      <c r="CO97" s="25"/>
      <c r="CP97" s="25"/>
      <c r="CQ97" s="25"/>
      <c r="CR97" s="25"/>
      <c r="CS97" s="25"/>
      <c r="CT97" s="25"/>
      <c r="CU97" s="25"/>
      <c r="CV97" s="25"/>
      <c r="CW97" s="25"/>
      <c r="CX97" s="25"/>
      <c r="CY97" s="25"/>
      <c r="CZ97" s="25"/>
      <c r="DA97" s="25"/>
      <c r="DB97" s="25"/>
      <c r="DC97" s="25"/>
      <c r="DD97" s="25"/>
      <c r="DE97" s="25"/>
      <c r="DF97" s="25"/>
      <c r="DG97" s="25"/>
      <c r="DH97" s="25"/>
      <c r="DI97" s="25"/>
      <c r="DJ97" s="25"/>
      <c r="DK97" s="25"/>
      <c r="DL97" s="25"/>
      <c r="DM97" s="25"/>
      <c r="DN97" s="25"/>
      <c r="DO97" s="25"/>
      <c r="DP97" s="25"/>
      <c r="DQ97" s="25"/>
    </row>
    <row r="98" spans="1:121" s="682" customFormat="1" ht="24.95" customHeight="1" thickBot="1" x14ac:dyDescent="0.3">
      <c r="A98" s="690">
        <v>210</v>
      </c>
      <c r="B98" s="691">
        <v>3635</v>
      </c>
      <c r="C98" s="692">
        <v>6119</v>
      </c>
      <c r="D98" s="754"/>
      <c r="E98" s="755" t="s">
        <v>255</v>
      </c>
      <c r="F98" s="684"/>
      <c r="G98" s="574">
        <v>400</v>
      </c>
      <c r="H98" s="574">
        <v>2019</v>
      </c>
      <c r="I98" s="756">
        <v>2019</v>
      </c>
      <c r="J98" s="473">
        <f>K98+L98+M98+SUM(R98:AA98)</f>
        <v>2000</v>
      </c>
      <c r="K98" s="757">
        <v>0</v>
      </c>
      <c r="L98" s="758">
        <v>0</v>
      </c>
      <c r="M98" s="474">
        <f>N98+O98+P98+Q98</f>
        <v>2000</v>
      </c>
      <c r="N98" s="759">
        <v>0</v>
      </c>
      <c r="O98" s="573">
        <v>2000</v>
      </c>
      <c r="P98" s="760">
        <v>0</v>
      </c>
      <c r="Q98" s="761">
        <v>0</v>
      </c>
      <c r="R98" s="762">
        <v>0</v>
      </c>
      <c r="S98" s="760">
        <v>0</v>
      </c>
      <c r="T98" s="761">
        <v>0</v>
      </c>
      <c r="U98" s="762">
        <v>0</v>
      </c>
      <c r="V98" s="760">
        <v>0</v>
      </c>
      <c r="W98" s="761">
        <v>0</v>
      </c>
      <c r="X98" s="762">
        <v>0</v>
      </c>
      <c r="Y98" s="760">
        <v>0</v>
      </c>
      <c r="Z98" s="1195">
        <v>0</v>
      </c>
      <c r="AA98" s="531">
        <v>0</v>
      </c>
      <c r="AB98" s="619"/>
      <c r="AC98" s="619"/>
      <c r="AD98" s="619"/>
      <c r="AE98" s="619"/>
      <c r="AF98" s="619"/>
      <c r="AG98" s="619"/>
      <c r="AH98" s="619"/>
      <c r="AI98" s="619"/>
      <c r="AJ98" s="619"/>
      <c r="AK98" s="619"/>
      <c r="AL98" s="619"/>
      <c r="AM98" s="619"/>
      <c r="AN98" s="619"/>
      <c r="AO98" s="619"/>
      <c r="AP98" s="619"/>
      <c r="AQ98" s="619"/>
      <c r="AR98" s="619"/>
      <c r="AS98" s="619"/>
      <c r="AT98" s="619"/>
      <c r="AU98" s="619"/>
      <c r="AV98" s="619"/>
      <c r="AW98" s="619"/>
      <c r="AX98" s="619"/>
      <c r="AY98" s="619"/>
      <c r="AZ98" s="619"/>
      <c r="BA98" s="619"/>
      <c r="BB98" s="619"/>
      <c r="BC98" s="619"/>
      <c r="BD98" s="619"/>
      <c r="BE98" s="619"/>
      <c r="BF98" s="619"/>
      <c r="BG98" s="619"/>
      <c r="BH98" s="619"/>
      <c r="BI98" s="619"/>
      <c r="BJ98" s="619"/>
      <c r="BK98" s="619"/>
      <c r="BL98" s="619"/>
      <c r="BM98" s="619"/>
      <c r="BN98" s="619"/>
      <c r="BO98" s="619"/>
      <c r="BP98" s="619"/>
      <c r="BQ98" s="619"/>
      <c r="BR98" s="619"/>
      <c r="BS98" s="619"/>
      <c r="BT98" s="619"/>
      <c r="BU98" s="619"/>
      <c r="BV98" s="619"/>
      <c r="BW98" s="619"/>
      <c r="BX98" s="619"/>
      <c r="BY98" s="619"/>
      <c r="BZ98" s="619"/>
      <c r="CA98" s="619"/>
      <c r="CB98" s="619"/>
      <c r="CC98" s="619"/>
      <c r="CD98" s="619"/>
      <c r="CE98" s="619"/>
      <c r="CF98" s="619"/>
      <c r="CG98" s="619"/>
      <c r="CH98" s="619"/>
      <c r="CI98" s="619"/>
      <c r="CJ98" s="619"/>
      <c r="CK98" s="619"/>
      <c r="CL98" s="619"/>
      <c r="CM98" s="619"/>
      <c r="CN98" s="619"/>
      <c r="CO98" s="619"/>
      <c r="CP98" s="619"/>
      <c r="CQ98" s="619"/>
      <c r="CR98" s="619"/>
      <c r="CS98" s="619"/>
      <c r="CT98" s="619"/>
      <c r="CU98" s="619"/>
      <c r="CV98" s="619"/>
      <c r="CW98" s="619"/>
      <c r="CX98" s="619"/>
      <c r="CY98" s="619"/>
      <c r="CZ98" s="619"/>
      <c r="DA98" s="619"/>
      <c r="DB98" s="619"/>
      <c r="DC98" s="619"/>
      <c r="DD98" s="619"/>
      <c r="DE98" s="619"/>
      <c r="DF98" s="619"/>
      <c r="DG98" s="619"/>
      <c r="DH98" s="619"/>
      <c r="DI98" s="619"/>
      <c r="DJ98" s="619"/>
      <c r="DK98" s="619"/>
      <c r="DL98" s="619"/>
      <c r="DM98" s="619"/>
      <c r="DN98" s="619"/>
      <c r="DO98" s="619"/>
      <c r="DP98" s="619"/>
      <c r="DQ98" s="619"/>
    </row>
    <row r="99" spans="1:121" ht="24.95" customHeight="1" thickBot="1" x14ac:dyDescent="0.3">
      <c r="D99" s="33"/>
      <c r="E99" s="1491" t="s">
        <v>33</v>
      </c>
      <c r="F99" s="1490"/>
      <c r="G99" s="1490"/>
      <c r="H99" s="1490"/>
      <c r="I99" s="1490"/>
      <c r="J99" s="1490"/>
      <c r="K99" s="1490"/>
      <c r="L99" s="1490"/>
      <c r="M99" s="22">
        <f t="shared" ref="M99:AA99" si="27">SUM(M95:M98)</f>
        <v>9532</v>
      </c>
      <c r="N99" s="22">
        <f t="shared" si="27"/>
        <v>3032</v>
      </c>
      <c r="O99" s="22">
        <f t="shared" si="27"/>
        <v>6500</v>
      </c>
      <c r="P99" s="22">
        <f t="shared" si="27"/>
        <v>0</v>
      </c>
      <c r="Q99" s="22">
        <f t="shared" si="27"/>
        <v>0</v>
      </c>
      <c r="R99" s="22">
        <f t="shared" si="27"/>
        <v>4000</v>
      </c>
      <c r="S99" s="22">
        <f t="shared" si="27"/>
        <v>0</v>
      </c>
      <c r="T99" s="22">
        <f t="shared" si="27"/>
        <v>0</v>
      </c>
      <c r="U99" s="22">
        <f t="shared" si="27"/>
        <v>4000</v>
      </c>
      <c r="V99" s="22">
        <f t="shared" si="27"/>
        <v>0</v>
      </c>
      <c r="W99" s="22">
        <f t="shared" si="27"/>
        <v>0</v>
      </c>
      <c r="X99" s="22">
        <f t="shared" si="27"/>
        <v>4000</v>
      </c>
      <c r="Y99" s="22">
        <f t="shared" si="27"/>
        <v>0</v>
      </c>
      <c r="Z99" s="1173">
        <f t="shared" si="27"/>
        <v>0</v>
      </c>
      <c r="AA99" s="1187">
        <f t="shared" si="27"/>
        <v>0</v>
      </c>
    </row>
    <row r="100" spans="1:121" ht="18" customHeight="1" thickBot="1" x14ac:dyDescent="0.25">
      <c r="D100" s="33"/>
      <c r="E100" s="2"/>
      <c r="F100" s="33"/>
      <c r="G100" s="33"/>
      <c r="H100" s="33"/>
      <c r="I100" s="33"/>
      <c r="J100" s="33"/>
      <c r="K100" s="33"/>
      <c r="L100" s="33"/>
    </row>
    <row r="101" spans="1:121" s="31" customFormat="1" ht="24.95" customHeight="1" x14ac:dyDescent="0.25">
      <c r="A101" s="881">
        <v>230</v>
      </c>
      <c r="B101" s="781">
        <v>1014</v>
      </c>
      <c r="C101" s="782">
        <v>6121</v>
      </c>
      <c r="D101" s="1227">
        <v>8195</v>
      </c>
      <c r="E101" s="1217" t="s">
        <v>491</v>
      </c>
      <c r="F101" s="735" t="s">
        <v>194</v>
      </c>
      <c r="G101" s="736">
        <v>400</v>
      </c>
      <c r="H101" s="736">
        <v>2015</v>
      </c>
      <c r="I101" s="737">
        <v>2020</v>
      </c>
      <c r="J101" s="685">
        <f t="shared" ref="J101:J132" si="28">K101+L101+M101+SUM(R101:AA101)</f>
        <v>25654</v>
      </c>
      <c r="K101" s="738">
        <v>0</v>
      </c>
      <c r="L101" s="739">
        <v>0</v>
      </c>
      <c r="M101" s="1071">
        <f t="shared" ref="M101:M132" si="29">N101+O101+P101+Q101</f>
        <v>11654</v>
      </c>
      <c r="N101" s="740">
        <v>1654</v>
      </c>
      <c r="O101" s="741">
        <f>15000-5000-9000</f>
        <v>1000</v>
      </c>
      <c r="P101" s="742">
        <v>0</v>
      </c>
      <c r="Q101" s="767">
        <v>9000</v>
      </c>
      <c r="R101" s="743">
        <v>14000</v>
      </c>
      <c r="S101" s="742">
        <v>0</v>
      </c>
      <c r="T101" s="739">
        <v>0</v>
      </c>
      <c r="U101" s="743">
        <v>0</v>
      </c>
      <c r="V101" s="742">
        <v>0</v>
      </c>
      <c r="W101" s="739">
        <v>0</v>
      </c>
      <c r="X101" s="743">
        <v>0</v>
      </c>
      <c r="Y101" s="742">
        <v>0</v>
      </c>
      <c r="Z101" s="1198">
        <v>0</v>
      </c>
      <c r="AA101" s="982">
        <v>0</v>
      </c>
      <c r="AB101" s="25"/>
      <c r="AC101" s="25"/>
      <c r="AD101" s="25"/>
      <c r="AE101" s="25"/>
      <c r="AF101" s="25"/>
      <c r="AG101" s="25"/>
      <c r="AH101" s="25"/>
      <c r="AI101" s="25"/>
      <c r="AJ101" s="25"/>
      <c r="AK101" s="25"/>
      <c r="AL101" s="25"/>
      <c r="AM101" s="25"/>
      <c r="AN101" s="25"/>
      <c r="AO101" s="25"/>
      <c r="AP101" s="25"/>
      <c r="AQ101" s="25"/>
      <c r="AR101" s="25"/>
      <c r="AS101" s="25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5"/>
      <c r="BT101" s="25"/>
      <c r="BU101" s="25"/>
      <c r="BV101" s="25"/>
      <c r="BW101" s="25"/>
      <c r="BX101" s="25"/>
      <c r="BY101" s="25"/>
      <c r="BZ101" s="25"/>
      <c r="CA101" s="25"/>
      <c r="CB101" s="25"/>
      <c r="CC101" s="25"/>
      <c r="CD101" s="25"/>
      <c r="CE101" s="25"/>
      <c r="CF101" s="25"/>
      <c r="CG101" s="25"/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25"/>
      <c r="CT101" s="25"/>
      <c r="CU101" s="25"/>
      <c r="CV101" s="25"/>
      <c r="CW101" s="25"/>
      <c r="CX101" s="25"/>
      <c r="CY101" s="25"/>
      <c r="CZ101" s="25"/>
      <c r="DA101" s="25"/>
      <c r="DB101" s="25"/>
      <c r="DC101" s="25"/>
      <c r="DD101" s="25"/>
      <c r="DE101" s="25"/>
      <c r="DF101" s="25"/>
      <c r="DG101" s="25"/>
      <c r="DH101" s="25"/>
      <c r="DI101" s="25"/>
      <c r="DJ101" s="25"/>
      <c r="DK101" s="25"/>
      <c r="DL101" s="25"/>
      <c r="DM101" s="25"/>
      <c r="DN101" s="25"/>
      <c r="DO101" s="25"/>
      <c r="DP101" s="25"/>
      <c r="DQ101" s="25"/>
    </row>
    <row r="102" spans="1:121" s="125" customFormat="1" ht="24.95" customHeight="1" x14ac:dyDescent="0.25">
      <c r="A102" s="1070">
        <v>230</v>
      </c>
      <c r="B102" s="907">
        <v>2212</v>
      </c>
      <c r="C102" s="906">
        <v>6121</v>
      </c>
      <c r="D102" s="1228">
        <v>3069</v>
      </c>
      <c r="E102" s="869" t="s">
        <v>490</v>
      </c>
      <c r="F102" s="765" t="s">
        <v>117</v>
      </c>
      <c r="G102" s="440">
        <v>400</v>
      </c>
      <c r="H102" s="440">
        <v>2008</v>
      </c>
      <c r="I102" s="441">
        <v>2020</v>
      </c>
      <c r="J102" s="442">
        <f t="shared" si="28"/>
        <v>63370</v>
      </c>
      <c r="K102" s="443">
        <v>2939</v>
      </c>
      <c r="L102" s="444">
        <v>0</v>
      </c>
      <c r="M102" s="997">
        <f t="shared" si="29"/>
        <v>8800</v>
      </c>
      <c r="N102" s="446">
        <v>8800</v>
      </c>
      <c r="O102" s="447">
        <f>5000-5000</f>
        <v>0</v>
      </c>
      <c r="P102" s="448">
        <v>0</v>
      </c>
      <c r="Q102" s="444">
        <v>0</v>
      </c>
      <c r="R102" s="449">
        <v>51631</v>
      </c>
      <c r="S102" s="448">
        <v>0</v>
      </c>
      <c r="T102" s="444">
        <v>0</v>
      </c>
      <c r="U102" s="449">
        <v>0</v>
      </c>
      <c r="V102" s="448">
        <v>0</v>
      </c>
      <c r="W102" s="444">
        <v>0</v>
      </c>
      <c r="X102" s="449">
        <v>0</v>
      </c>
      <c r="Y102" s="448">
        <v>0</v>
      </c>
      <c r="Z102" s="492">
        <v>0</v>
      </c>
      <c r="AA102" s="493">
        <v>0</v>
      </c>
      <c r="AB102" s="30"/>
      <c r="AC102" s="30"/>
      <c r="AD102" s="30"/>
      <c r="AE102" s="30"/>
      <c r="AF102" s="25"/>
      <c r="AG102" s="25"/>
      <c r="AH102" s="25"/>
      <c r="AI102" s="25"/>
      <c r="AJ102" s="25"/>
      <c r="AK102" s="25"/>
      <c r="AL102" s="25"/>
      <c r="AM102" s="25"/>
      <c r="AN102" s="25"/>
      <c r="AO102" s="25"/>
      <c r="AP102" s="25"/>
      <c r="AQ102" s="25"/>
      <c r="AR102" s="25"/>
      <c r="AS102" s="25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5"/>
      <c r="BT102" s="25"/>
      <c r="BU102" s="25"/>
      <c r="BV102" s="25"/>
      <c r="BW102" s="25"/>
      <c r="BX102" s="25"/>
      <c r="BY102" s="25"/>
      <c r="BZ102" s="25"/>
      <c r="CA102" s="25"/>
      <c r="CB102" s="25"/>
      <c r="CC102" s="25"/>
      <c r="CD102" s="25"/>
      <c r="CE102" s="25"/>
      <c r="CF102" s="25"/>
      <c r="CG102" s="25"/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25"/>
      <c r="CT102" s="25"/>
      <c r="CU102" s="25"/>
      <c r="CV102" s="25"/>
      <c r="CW102" s="25"/>
      <c r="CX102" s="25"/>
      <c r="CY102" s="25"/>
      <c r="CZ102" s="25"/>
      <c r="DA102" s="25"/>
      <c r="DB102" s="25"/>
      <c r="DC102" s="25"/>
      <c r="DD102" s="25"/>
      <c r="DE102" s="25"/>
      <c r="DF102" s="25"/>
      <c r="DG102" s="25"/>
      <c r="DH102" s="25"/>
      <c r="DI102" s="25"/>
      <c r="DJ102" s="25"/>
      <c r="DK102" s="25"/>
      <c r="DL102" s="25"/>
      <c r="DM102" s="25"/>
      <c r="DN102" s="25"/>
      <c r="DO102" s="25"/>
      <c r="DP102" s="25"/>
      <c r="DQ102" s="25"/>
    </row>
    <row r="103" spans="1:121" s="125" customFormat="1" ht="24.95" customHeight="1" x14ac:dyDescent="0.25">
      <c r="A103" s="436">
        <v>230</v>
      </c>
      <c r="B103" s="1069">
        <v>2212</v>
      </c>
      <c r="C103" s="1068">
        <v>6121</v>
      </c>
      <c r="D103" s="1055">
        <v>3115</v>
      </c>
      <c r="E103" s="1054" t="s">
        <v>489</v>
      </c>
      <c r="F103" s="1001" t="s">
        <v>127</v>
      </c>
      <c r="G103" s="607">
        <v>400</v>
      </c>
      <c r="H103" s="607">
        <v>2016</v>
      </c>
      <c r="I103" s="1000">
        <v>2020</v>
      </c>
      <c r="J103" s="442">
        <f t="shared" si="28"/>
        <v>12895</v>
      </c>
      <c r="K103" s="443">
        <v>844</v>
      </c>
      <c r="L103" s="444">
        <v>51</v>
      </c>
      <c r="M103" s="940">
        <f t="shared" si="29"/>
        <v>1000</v>
      </c>
      <c r="N103" s="446">
        <f>1000</f>
        <v>1000</v>
      </c>
      <c r="O103" s="447">
        <f>1000-1000</f>
        <v>0</v>
      </c>
      <c r="P103" s="448">
        <v>0</v>
      </c>
      <c r="Q103" s="444">
        <v>0</v>
      </c>
      <c r="R103" s="449">
        <v>11000</v>
      </c>
      <c r="S103" s="448">
        <v>0</v>
      </c>
      <c r="T103" s="444">
        <v>0</v>
      </c>
      <c r="U103" s="449">
        <v>0</v>
      </c>
      <c r="V103" s="448">
        <v>0</v>
      </c>
      <c r="W103" s="444">
        <v>0</v>
      </c>
      <c r="X103" s="449">
        <v>0</v>
      </c>
      <c r="Y103" s="448">
        <v>0</v>
      </c>
      <c r="Z103" s="492">
        <v>0</v>
      </c>
      <c r="AA103" s="493">
        <v>0</v>
      </c>
      <c r="AB103" s="30"/>
      <c r="AC103" s="30"/>
      <c r="AD103" s="30"/>
      <c r="AE103" s="30"/>
      <c r="AF103" s="25"/>
      <c r="AG103" s="25"/>
      <c r="AH103" s="25"/>
      <c r="AI103" s="25"/>
      <c r="AJ103" s="25"/>
      <c r="AK103" s="25"/>
      <c r="AL103" s="25"/>
      <c r="AM103" s="25"/>
      <c r="AN103" s="25"/>
      <c r="AO103" s="25"/>
      <c r="AP103" s="25"/>
      <c r="AQ103" s="25"/>
      <c r="AR103" s="25"/>
      <c r="AS103" s="25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5"/>
      <c r="BT103" s="25"/>
      <c r="BU103" s="25"/>
      <c r="BV103" s="25"/>
      <c r="BW103" s="25"/>
      <c r="BX103" s="25"/>
      <c r="BY103" s="25"/>
      <c r="BZ103" s="25"/>
      <c r="CA103" s="25"/>
      <c r="CB103" s="25"/>
      <c r="CC103" s="25"/>
      <c r="CD103" s="25"/>
      <c r="CE103" s="25"/>
      <c r="CF103" s="25"/>
      <c r="CG103" s="25"/>
      <c r="CH103" s="25"/>
      <c r="CI103" s="25"/>
      <c r="CJ103" s="25"/>
      <c r="CK103" s="25"/>
      <c r="CL103" s="25"/>
      <c r="CM103" s="25"/>
      <c r="CN103" s="25"/>
      <c r="CO103" s="25"/>
      <c r="CP103" s="25"/>
      <c r="CQ103" s="25"/>
      <c r="CR103" s="25"/>
      <c r="CS103" s="25"/>
      <c r="CT103" s="25"/>
      <c r="CU103" s="25"/>
      <c r="CV103" s="25"/>
      <c r="CW103" s="25"/>
      <c r="CX103" s="25"/>
      <c r="CY103" s="25"/>
      <c r="CZ103" s="25"/>
      <c r="DA103" s="25"/>
      <c r="DB103" s="25"/>
      <c r="DC103" s="25"/>
      <c r="DD103" s="25"/>
      <c r="DE103" s="25"/>
      <c r="DF103" s="25"/>
      <c r="DG103" s="25"/>
      <c r="DH103" s="25"/>
      <c r="DI103" s="25"/>
      <c r="DJ103" s="25"/>
      <c r="DK103" s="25"/>
      <c r="DL103" s="25"/>
      <c r="DM103" s="25"/>
      <c r="DN103" s="25"/>
      <c r="DO103" s="25"/>
      <c r="DP103" s="25"/>
      <c r="DQ103" s="25"/>
    </row>
    <row r="104" spans="1:121" s="125" customFormat="1" ht="24.95" customHeight="1" x14ac:dyDescent="0.25">
      <c r="A104" s="436">
        <v>230</v>
      </c>
      <c r="B104" s="1021">
        <v>2212</v>
      </c>
      <c r="C104" s="1020">
        <v>6121</v>
      </c>
      <c r="D104" s="1055">
        <v>3140</v>
      </c>
      <c r="E104" s="1054" t="s">
        <v>488</v>
      </c>
      <c r="F104" s="482" t="s">
        <v>127</v>
      </c>
      <c r="G104" s="483">
        <v>400</v>
      </c>
      <c r="H104" s="483">
        <v>2013</v>
      </c>
      <c r="I104" s="484">
        <v>2019</v>
      </c>
      <c r="J104" s="462">
        <f t="shared" si="28"/>
        <v>23962</v>
      </c>
      <c r="K104" s="463">
        <v>1035</v>
      </c>
      <c r="L104" s="464">
        <v>442</v>
      </c>
      <c r="M104" s="465">
        <f t="shared" si="29"/>
        <v>22485</v>
      </c>
      <c r="N104" s="466">
        <v>22485</v>
      </c>
      <c r="O104" s="475">
        <f>4515-4515</f>
        <v>0</v>
      </c>
      <c r="P104" s="467">
        <v>0</v>
      </c>
      <c r="Q104" s="464">
        <v>0</v>
      </c>
      <c r="R104" s="469">
        <v>0</v>
      </c>
      <c r="S104" s="467">
        <v>0</v>
      </c>
      <c r="T104" s="464">
        <v>0</v>
      </c>
      <c r="U104" s="469">
        <v>0</v>
      </c>
      <c r="V104" s="467">
        <v>0</v>
      </c>
      <c r="W104" s="464">
        <v>0</v>
      </c>
      <c r="X104" s="469">
        <v>0</v>
      </c>
      <c r="Y104" s="467">
        <v>0</v>
      </c>
      <c r="Z104" s="468">
        <v>0</v>
      </c>
      <c r="AA104" s="478">
        <v>0</v>
      </c>
      <c r="AB104" s="30"/>
      <c r="AC104" s="30"/>
      <c r="AD104" s="30"/>
      <c r="AE104" s="30"/>
      <c r="AF104" s="25"/>
      <c r="AG104" s="25"/>
      <c r="AH104" s="25"/>
      <c r="AI104" s="25"/>
      <c r="AJ104" s="25"/>
      <c r="AK104" s="25"/>
      <c r="AL104" s="25"/>
      <c r="AM104" s="25"/>
      <c r="AN104" s="25"/>
      <c r="AO104" s="25"/>
      <c r="AP104" s="25"/>
      <c r="AQ104" s="25"/>
      <c r="AR104" s="25"/>
      <c r="AS104" s="25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  <c r="BF104" s="25"/>
      <c r="BG104" s="25"/>
      <c r="BH104" s="25"/>
      <c r="BI104" s="25"/>
      <c r="BJ104" s="25"/>
      <c r="BK104" s="25"/>
      <c r="BL104" s="25"/>
      <c r="BM104" s="25"/>
      <c r="BN104" s="25"/>
      <c r="BO104" s="25"/>
      <c r="BP104" s="25"/>
      <c r="BQ104" s="25"/>
      <c r="BR104" s="25"/>
      <c r="BS104" s="25"/>
      <c r="BT104" s="25"/>
      <c r="BU104" s="25"/>
      <c r="BV104" s="25"/>
      <c r="BW104" s="25"/>
      <c r="BX104" s="25"/>
      <c r="BY104" s="25"/>
      <c r="BZ104" s="25"/>
      <c r="CA104" s="25"/>
      <c r="CB104" s="25"/>
      <c r="CC104" s="25"/>
      <c r="CD104" s="25"/>
      <c r="CE104" s="25"/>
      <c r="CF104" s="25"/>
      <c r="CG104" s="25"/>
      <c r="CH104" s="25"/>
      <c r="CI104" s="25"/>
      <c r="CJ104" s="25"/>
      <c r="CK104" s="25"/>
      <c r="CL104" s="25"/>
      <c r="CM104" s="25"/>
      <c r="CN104" s="25"/>
      <c r="CO104" s="25"/>
      <c r="CP104" s="25"/>
      <c r="CQ104" s="25"/>
      <c r="CR104" s="25"/>
      <c r="CS104" s="25"/>
      <c r="CT104" s="25"/>
      <c r="CU104" s="25"/>
      <c r="CV104" s="25"/>
      <c r="CW104" s="25"/>
      <c r="CX104" s="25"/>
      <c r="CY104" s="25"/>
      <c r="CZ104" s="25"/>
      <c r="DA104" s="25"/>
      <c r="DB104" s="25"/>
      <c r="DC104" s="25"/>
      <c r="DD104" s="25"/>
      <c r="DE104" s="25"/>
      <c r="DF104" s="25"/>
      <c r="DG104" s="25"/>
      <c r="DH104" s="25"/>
      <c r="DI104" s="25"/>
      <c r="DJ104" s="25"/>
      <c r="DK104" s="25"/>
      <c r="DL104" s="25"/>
      <c r="DM104" s="25"/>
      <c r="DN104" s="25"/>
      <c r="DO104" s="25"/>
      <c r="DP104" s="25"/>
      <c r="DQ104" s="25"/>
    </row>
    <row r="105" spans="1:121" s="125" customFormat="1" ht="24.95" customHeight="1" x14ac:dyDescent="0.25">
      <c r="A105" s="436">
        <v>230</v>
      </c>
      <c r="B105" s="907">
        <v>2212</v>
      </c>
      <c r="C105" s="906">
        <v>6121</v>
      </c>
      <c r="D105" s="1055">
        <v>3165</v>
      </c>
      <c r="E105" s="1054" t="s">
        <v>487</v>
      </c>
      <c r="F105" s="439" t="s">
        <v>117</v>
      </c>
      <c r="G105" s="440">
        <v>400</v>
      </c>
      <c r="H105" s="440">
        <v>2019</v>
      </c>
      <c r="I105" s="441">
        <v>2021</v>
      </c>
      <c r="J105" s="442">
        <f t="shared" si="28"/>
        <v>9507</v>
      </c>
      <c r="K105" s="443">
        <v>0</v>
      </c>
      <c r="L105" s="444">
        <v>0</v>
      </c>
      <c r="M105" s="940">
        <f t="shared" si="29"/>
        <v>507</v>
      </c>
      <c r="N105" s="446">
        <v>507</v>
      </c>
      <c r="O105" s="447">
        <v>0</v>
      </c>
      <c r="P105" s="448">
        <v>0</v>
      </c>
      <c r="Q105" s="444">
        <v>0</v>
      </c>
      <c r="R105" s="449">
        <v>3000</v>
      </c>
      <c r="S105" s="448"/>
      <c r="T105" s="444"/>
      <c r="U105" s="449">
        <v>6000</v>
      </c>
      <c r="V105" s="448"/>
      <c r="W105" s="444"/>
      <c r="X105" s="449"/>
      <c r="Y105" s="448"/>
      <c r="Z105" s="492"/>
      <c r="AA105" s="493"/>
      <c r="AB105" s="30"/>
      <c r="AC105" s="30"/>
      <c r="AD105" s="30"/>
      <c r="AE105" s="30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  <c r="BF105" s="25"/>
      <c r="BG105" s="25"/>
      <c r="BH105" s="25"/>
      <c r="BI105" s="25"/>
      <c r="BJ105" s="25"/>
      <c r="BK105" s="25"/>
      <c r="BL105" s="25"/>
      <c r="BM105" s="25"/>
      <c r="BN105" s="25"/>
      <c r="BO105" s="25"/>
      <c r="BP105" s="25"/>
      <c r="BQ105" s="25"/>
      <c r="BR105" s="25"/>
      <c r="BS105" s="25"/>
      <c r="BT105" s="25"/>
      <c r="BU105" s="25"/>
      <c r="BV105" s="25"/>
      <c r="BW105" s="25"/>
      <c r="BX105" s="25"/>
      <c r="BY105" s="25"/>
      <c r="BZ105" s="25"/>
      <c r="CA105" s="25"/>
      <c r="CB105" s="25"/>
      <c r="CC105" s="25"/>
      <c r="CD105" s="25"/>
      <c r="CE105" s="25"/>
      <c r="CF105" s="25"/>
      <c r="CG105" s="25"/>
      <c r="CH105" s="25"/>
      <c r="CI105" s="25"/>
      <c r="CJ105" s="25"/>
      <c r="CK105" s="25"/>
      <c r="CL105" s="25"/>
      <c r="CM105" s="25"/>
      <c r="CN105" s="25"/>
      <c r="CO105" s="25"/>
      <c r="CP105" s="25"/>
      <c r="CQ105" s="25"/>
      <c r="CR105" s="25"/>
      <c r="CS105" s="25"/>
      <c r="CT105" s="25"/>
      <c r="CU105" s="25"/>
      <c r="CV105" s="25"/>
      <c r="CW105" s="25"/>
      <c r="CX105" s="25"/>
      <c r="CY105" s="25"/>
      <c r="CZ105" s="25"/>
      <c r="DA105" s="25"/>
      <c r="DB105" s="25"/>
      <c r="DC105" s="25"/>
      <c r="DD105" s="25"/>
      <c r="DE105" s="25"/>
      <c r="DF105" s="25"/>
      <c r="DG105" s="25"/>
      <c r="DH105" s="25"/>
      <c r="DI105" s="25"/>
      <c r="DJ105" s="25"/>
      <c r="DK105" s="25"/>
      <c r="DL105" s="25"/>
      <c r="DM105" s="25"/>
      <c r="DN105" s="25"/>
      <c r="DO105" s="25"/>
      <c r="DP105" s="25"/>
      <c r="DQ105" s="25"/>
    </row>
    <row r="106" spans="1:121" s="125" customFormat="1" ht="24.95" customHeight="1" x14ac:dyDescent="0.25">
      <c r="A106" s="436">
        <v>230</v>
      </c>
      <c r="B106" s="926">
        <v>2212</v>
      </c>
      <c r="C106" s="925">
        <v>6121</v>
      </c>
      <c r="D106" s="1055">
        <v>3170</v>
      </c>
      <c r="E106" s="1054" t="s">
        <v>486</v>
      </c>
      <c r="F106" s="482" t="s">
        <v>117</v>
      </c>
      <c r="G106" s="483">
        <v>400</v>
      </c>
      <c r="H106" s="483">
        <v>2016</v>
      </c>
      <c r="I106" s="484">
        <v>2021</v>
      </c>
      <c r="J106" s="462">
        <f t="shared" si="28"/>
        <v>43959</v>
      </c>
      <c r="K106" s="463">
        <v>551</v>
      </c>
      <c r="L106" s="464">
        <v>407</v>
      </c>
      <c r="M106" s="465">
        <f t="shared" si="29"/>
        <v>1001</v>
      </c>
      <c r="N106" s="466">
        <v>958</v>
      </c>
      <c r="O106" s="475">
        <v>43</v>
      </c>
      <c r="P106" s="467">
        <v>0</v>
      </c>
      <c r="Q106" s="464">
        <v>0</v>
      </c>
      <c r="R106" s="469">
        <v>42000</v>
      </c>
      <c r="S106" s="467">
        <v>0</v>
      </c>
      <c r="T106" s="464">
        <v>0</v>
      </c>
      <c r="U106" s="469">
        <v>0</v>
      </c>
      <c r="V106" s="467">
        <v>0</v>
      </c>
      <c r="W106" s="464">
        <v>0</v>
      </c>
      <c r="X106" s="469">
        <v>0</v>
      </c>
      <c r="Y106" s="467">
        <v>0</v>
      </c>
      <c r="Z106" s="468">
        <v>0</v>
      </c>
      <c r="AA106" s="478">
        <v>0</v>
      </c>
      <c r="AB106" s="30"/>
      <c r="AC106" s="30"/>
      <c r="AD106" s="30"/>
      <c r="AE106" s="30"/>
      <c r="AF106" s="25"/>
      <c r="AG106" s="25"/>
      <c r="AH106" s="25"/>
      <c r="AI106" s="25"/>
      <c r="AJ106" s="25"/>
      <c r="AK106" s="25"/>
      <c r="AL106" s="25"/>
      <c r="AM106" s="25"/>
      <c r="AN106" s="25"/>
      <c r="AO106" s="25"/>
      <c r="AP106" s="25"/>
      <c r="AQ106" s="25"/>
      <c r="AR106" s="25"/>
      <c r="AS106" s="25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  <c r="BF106" s="25"/>
      <c r="BG106" s="25"/>
      <c r="BH106" s="25"/>
      <c r="BI106" s="25"/>
      <c r="BJ106" s="25"/>
      <c r="BK106" s="25"/>
      <c r="BL106" s="25"/>
      <c r="BM106" s="25"/>
      <c r="BN106" s="25"/>
      <c r="BO106" s="25"/>
      <c r="BP106" s="25"/>
      <c r="BQ106" s="25"/>
      <c r="BR106" s="25"/>
      <c r="BS106" s="25"/>
      <c r="BT106" s="25"/>
      <c r="BU106" s="25"/>
      <c r="BV106" s="25"/>
      <c r="BW106" s="25"/>
      <c r="BX106" s="25"/>
      <c r="BY106" s="25"/>
      <c r="BZ106" s="25"/>
      <c r="CA106" s="25"/>
      <c r="CB106" s="25"/>
      <c r="CC106" s="25"/>
      <c r="CD106" s="25"/>
      <c r="CE106" s="25"/>
      <c r="CF106" s="25"/>
      <c r="CG106" s="25"/>
      <c r="CH106" s="25"/>
      <c r="CI106" s="25"/>
      <c r="CJ106" s="25"/>
      <c r="CK106" s="25"/>
      <c r="CL106" s="25"/>
      <c r="CM106" s="25"/>
      <c r="CN106" s="25"/>
      <c r="CO106" s="25"/>
      <c r="CP106" s="25"/>
      <c r="CQ106" s="25"/>
      <c r="CR106" s="25"/>
      <c r="CS106" s="25"/>
      <c r="CT106" s="25"/>
      <c r="CU106" s="25"/>
      <c r="CV106" s="25"/>
      <c r="CW106" s="25"/>
      <c r="CX106" s="25"/>
      <c r="CY106" s="25"/>
      <c r="CZ106" s="25"/>
      <c r="DA106" s="25"/>
      <c r="DB106" s="25"/>
      <c r="DC106" s="25"/>
      <c r="DD106" s="25"/>
      <c r="DE106" s="25"/>
      <c r="DF106" s="25"/>
      <c r="DG106" s="25"/>
      <c r="DH106" s="25"/>
      <c r="DI106" s="25"/>
      <c r="DJ106" s="25"/>
      <c r="DK106" s="25"/>
      <c r="DL106" s="25"/>
      <c r="DM106" s="25"/>
      <c r="DN106" s="25"/>
      <c r="DO106" s="25"/>
      <c r="DP106" s="25"/>
      <c r="DQ106" s="25"/>
    </row>
    <row r="107" spans="1:121" s="125" customFormat="1" ht="24.95" customHeight="1" x14ac:dyDescent="0.25">
      <c r="A107" s="436">
        <v>230</v>
      </c>
      <c r="B107" s="666">
        <v>2212</v>
      </c>
      <c r="C107" s="667">
        <v>6121</v>
      </c>
      <c r="D107" s="1229">
        <v>3171</v>
      </c>
      <c r="E107" s="1054" t="s">
        <v>485</v>
      </c>
      <c r="F107" s="110"/>
      <c r="G107" s="111">
        <v>400</v>
      </c>
      <c r="H107" s="111">
        <v>2015</v>
      </c>
      <c r="I107" s="112">
        <v>2019</v>
      </c>
      <c r="J107" s="462">
        <f t="shared" si="28"/>
        <v>1673300</v>
      </c>
      <c r="K107" s="463">
        <v>3955</v>
      </c>
      <c r="L107" s="464">
        <v>699</v>
      </c>
      <c r="M107" s="465">
        <f t="shared" si="29"/>
        <v>2166</v>
      </c>
      <c r="N107" s="466">
        <v>1499</v>
      </c>
      <c r="O107" s="1067">
        <v>667</v>
      </c>
      <c r="P107" s="467">
        <v>0</v>
      </c>
      <c r="Q107" s="464">
        <v>0</v>
      </c>
      <c r="R107" s="469">
        <v>5000</v>
      </c>
      <c r="S107" s="467">
        <v>0</v>
      </c>
      <c r="T107" s="464">
        <v>0</v>
      </c>
      <c r="U107" s="469">
        <v>10000</v>
      </c>
      <c r="V107" s="467">
        <v>0</v>
      </c>
      <c r="W107" s="464">
        <v>0</v>
      </c>
      <c r="X107" s="469">
        <f>1651480-1651480</f>
        <v>0</v>
      </c>
      <c r="Y107" s="467">
        <v>1651480</v>
      </c>
      <c r="Z107" s="468">
        <v>0</v>
      </c>
      <c r="AA107" s="478">
        <v>0</v>
      </c>
      <c r="AB107" s="30"/>
      <c r="AC107" s="30"/>
      <c r="AD107" s="30"/>
      <c r="AE107" s="30"/>
      <c r="AF107" s="25"/>
      <c r="AG107" s="25"/>
      <c r="AH107" s="25"/>
      <c r="AI107" s="25"/>
      <c r="AJ107" s="25"/>
      <c r="AK107" s="25"/>
      <c r="AL107" s="25"/>
      <c r="AM107" s="25"/>
      <c r="AN107" s="25"/>
      <c r="AO107" s="25"/>
      <c r="AP107" s="25"/>
      <c r="AQ107" s="25"/>
      <c r="AR107" s="25"/>
      <c r="AS107" s="25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  <c r="BF107" s="25"/>
      <c r="BG107" s="25"/>
      <c r="BH107" s="25"/>
      <c r="BI107" s="25"/>
      <c r="BJ107" s="25"/>
      <c r="BK107" s="25"/>
      <c r="BL107" s="25"/>
      <c r="BM107" s="25"/>
      <c r="BN107" s="25"/>
      <c r="BO107" s="25"/>
      <c r="BP107" s="25"/>
      <c r="BQ107" s="25"/>
      <c r="BR107" s="25"/>
      <c r="BS107" s="25"/>
      <c r="BT107" s="25"/>
      <c r="BU107" s="25"/>
      <c r="BV107" s="25"/>
      <c r="BW107" s="25"/>
      <c r="BX107" s="25"/>
      <c r="BY107" s="25"/>
      <c r="BZ107" s="25"/>
      <c r="CA107" s="25"/>
      <c r="CB107" s="25"/>
      <c r="CC107" s="25"/>
      <c r="CD107" s="25"/>
      <c r="CE107" s="25"/>
      <c r="CF107" s="25"/>
      <c r="CG107" s="25"/>
      <c r="CH107" s="25"/>
      <c r="CI107" s="25"/>
      <c r="CJ107" s="25"/>
      <c r="CK107" s="25"/>
      <c r="CL107" s="25"/>
      <c r="CM107" s="25"/>
      <c r="CN107" s="25"/>
      <c r="CO107" s="25"/>
      <c r="CP107" s="25"/>
      <c r="CQ107" s="25"/>
      <c r="CR107" s="25"/>
      <c r="CS107" s="25"/>
      <c r="CT107" s="25"/>
      <c r="CU107" s="25"/>
      <c r="CV107" s="25"/>
      <c r="CW107" s="25"/>
      <c r="CX107" s="25"/>
      <c r="CY107" s="25"/>
      <c r="CZ107" s="25"/>
      <c r="DA107" s="25"/>
      <c r="DB107" s="25"/>
      <c r="DC107" s="25"/>
      <c r="DD107" s="25"/>
      <c r="DE107" s="25"/>
      <c r="DF107" s="25"/>
      <c r="DG107" s="25"/>
      <c r="DH107" s="25"/>
      <c r="DI107" s="25"/>
      <c r="DJ107" s="25"/>
      <c r="DK107" s="25"/>
      <c r="DL107" s="25"/>
      <c r="DM107" s="25"/>
      <c r="DN107" s="25"/>
      <c r="DO107" s="25"/>
      <c r="DP107" s="25"/>
      <c r="DQ107" s="25"/>
    </row>
    <row r="108" spans="1:121" s="125" customFormat="1" ht="24.95" customHeight="1" x14ac:dyDescent="0.25">
      <c r="A108" s="436">
        <v>230</v>
      </c>
      <c r="B108" s="1021">
        <v>2212</v>
      </c>
      <c r="C108" s="1020">
        <v>6121</v>
      </c>
      <c r="D108" s="1055">
        <v>3190</v>
      </c>
      <c r="E108" s="1054" t="s">
        <v>484</v>
      </c>
      <c r="F108" s="482" t="s">
        <v>121</v>
      </c>
      <c r="G108" s="483">
        <v>400</v>
      </c>
      <c r="H108" s="483">
        <v>2016</v>
      </c>
      <c r="I108" s="484">
        <v>2019</v>
      </c>
      <c r="J108" s="462">
        <f t="shared" si="28"/>
        <v>14649</v>
      </c>
      <c r="K108" s="463">
        <v>247</v>
      </c>
      <c r="L108" s="464">
        <v>2</v>
      </c>
      <c r="M108" s="465">
        <f t="shared" si="29"/>
        <v>1400</v>
      </c>
      <c r="N108" s="466">
        <v>1198</v>
      </c>
      <c r="O108" s="475">
        <v>202</v>
      </c>
      <c r="P108" s="467">
        <v>0</v>
      </c>
      <c r="Q108" s="464">
        <v>0</v>
      </c>
      <c r="R108" s="469">
        <v>13000</v>
      </c>
      <c r="S108" s="467">
        <v>0</v>
      </c>
      <c r="T108" s="464">
        <v>0</v>
      </c>
      <c r="U108" s="469">
        <v>0</v>
      </c>
      <c r="V108" s="467">
        <v>0</v>
      </c>
      <c r="W108" s="464">
        <v>0</v>
      </c>
      <c r="X108" s="469">
        <v>0</v>
      </c>
      <c r="Y108" s="467">
        <v>0</v>
      </c>
      <c r="Z108" s="468">
        <v>0</v>
      </c>
      <c r="AA108" s="478">
        <v>0</v>
      </c>
      <c r="AB108" s="30"/>
      <c r="AC108" s="30"/>
      <c r="AD108" s="30"/>
      <c r="AE108" s="30"/>
      <c r="AF108" s="25"/>
      <c r="AG108" s="25"/>
      <c r="AH108" s="25"/>
      <c r="AI108" s="25"/>
      <c r="AJ108" s="25"/>
      <c r="AK108" s="25"/>
      <c r="AL108" s="25"/>
      <c r="AM108" s="25"/>
      <c r="AN108" s="25"/>
      <c r="AO108" s="25"/>
      <c r="AP108" s="25"/>
      <c r="AQ108" s="25"/>
      <c r="AR108" s="25"/>
      <c r="AS108" s="25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  <c r="BF108" s="25"/>
      <c r="BG108" s="25"/>
      <c r="BH108" s="25"/>
      <c r="BI108" s="25"/>
      <c r="BJ108" s="25"/>
      <c r="BK108" s="25"/>
      <c r="BL108" s="25"/>
      <c r="BM108" s="25"/>
      <c r="BN108" s="25"/>
      <c r="BO108" s="25"/>
      <c r="BP108" s="25"/>
      <c r="BQ108" s="25"/>
      <c r="BR108" s="25"/>
      <c r="BS108" s="25"/>
      <c r="BT108" s="25"/>
      <c r="BU108" s="25"/>
      <c r="BV108" s="25"/>
      <c r="BW108" s="25"/>
      <c r="BX108" s="25"/>
      <c r="BY108" s="25"/>
      <c r="BZ108" s="25"/>
      <c r="CA108" s="25"/>
      <c r="CB108" s="25"/>
      <c r="CC108" s="25"/>
      <c r="CD108" s="25"/>
      <c r="CE108" s="25"/>
      <c r="CF108" s="25"/>
      <c r="CG108" s="25"/>
      <c r="CH108" s="25"/>
      <c r="CI108" s="25"/>
      <c r="CJ108" s="25"/>
      <c r="CK108" s="25"/>
      <c r="CL108" s="25"/>
      <c r="CM108" s="25"/>
      <c r="CN108" s="25"/>
      <c r="CO108" s="25"/>
      <c r="CP108" s="25"/>
      <c r="CQ108" s="25"/>
      <c r="CR108" s="25"/>
      <c r="CS108" s="25"/>
      <c r="CT108" s="25"/>
      <c r="CU108" s="25"/>
      <c r="CV108" s="25"/>
      <c r="CW108" s="25"/>
      <c r="CX108" s="25"/>
      <c r="CY108" s="25"/>
      <c r="CZ108" s="25"/>
      <c r="DA108" s="25"/>
      <c r="DB108" s="25"/>
      <c r="DC108" s="25"/>
      <c r="DD108" s="25"/>
      <c r="DE108" s="25"/>
      <c r="DF108" s="25"/>
      <c r="DG108" s="25"/>
      <c r="DH108" s="25"/>
      <c r="DI108" s="25"/>
      <c r="DJ108" s="25"/>
      <c r="DK108" s="25"/>
      <c r="DL108" s="25"/>
      <c r="DM108" s="25"/>
      <c r="DN108" s="25"/>
      <c r="DO108" s="25"/>
      <c r="DP108" s="25"/>
      <c r="DQ108" s="25"/>
    </row>
    <row r="109" spans="1:121" s="125" customFormat="1" ht="24.95" customHeight="1" x14ac:dyDescent="0.25">
      <c r="A109" s="436">
        <v>230</v>
      </c>
      <c r="B109" s="1021">
        <v>2212</v>
      </c>
      <c r="C109" s="1020">
        <v>6121</v>
      </c>
      <c r="D109" s="1055">
        <v>3191</v>
      </c>
      <c r="E109" s="1054" t="s">
        <v>483</v>
      </c>
      <c r="F109" s="482" t="s">
        <v>121</v>
      </c>
      <c r="G109" s="483">
        <v>400</v>
      </c>
      <c r="H109" s="483">
        <v>2016</v>
      </c>
      <c r="I109" s="484">
        <v>2019</v>
      </c>
      <c r="J109" s="462">
        <f t="shared" si="28"/>
        <v>34831</v>
      </c>
      <c r="K109" s="463">
        <v>0</v>
      </c>
      <c r="L109" s="464">
        <v>153</v>
      </c>
      <c r="M109" s="465">
        <f t="shared" si="29"/>
        <v>1000</v>
      </c>
      <c r="N109" s="466">
        <v>765</v>
      </c>
      <c r="O109" s="475">
        <v>235</v>
      </c>
      <c r="P109" s="467">
        <v>0</v>
      </c>
      <c r="Q109" s="464">
        <v>0</v>
      </c>
      <c r="R109" s="469">
        <v>33678</v>
      </c>
      <c r="S109" s="467">
        <v>0</v>
      </c>
      <c r="T109" s="464">
        <v>0</v>
      </c>
      <c r="U109" s="469">
        <v>0</v>
      </c>
      <c r="V109" s="467">
        <v>0</v>
      </c>
      <c r="W109" s="464">
        <v>0</v>
      </c>
      <c r="X109" s="469">
        <v>0</v>
      </c>
      <c r="Y109" s="467">
        <v>0</v>
      </c>
      <c r="Z109" s="468">
        <v>0</v>
      </c>
      <c r="AA109" s="478">
        <v>0</v>
      </c>
      <c r="AB109" s="30"/>
      <c r="AC109" s="30"/>
      <c r="AD109" s="30"/>
      <c r="AE109" s="30"/>
      <c r="AF109" s="25"/>
      <c r="AG109" s="25"/>
      <c r="AH109" s="25"/>
      <c r="AI109" s="25"/>
      <c r="AJ109" s="25"/>
      <c r="AK109" s="25"/>
      <c r="AL109" s="25"/>
      <c r="AM109" s="25"/>
      <c r="AN109" s="25"/>
      <c r="AO109" s="25"/>
      <c r="AP109" s="25"/>
      <c r="AQ109" s="25"/>
      <c r="AR109" s="25"/>
      <c r="AS109" s="25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  <c r="BF109" s="25"/>
      <c r="BG109" s="25"/>
      <c r="BH109" s="25"/>
      <c r="BI109" s="25"/>
      <c r="BJ109" s="25"/>
      <c r="BK109" s="25"/>
      <c r="BL109" s="25"/>
      <c r="BM109" s="25"/>
      <c r="BN109" s="25"/>
      <c r="BO109" s="25"/>
      <c r="BP109" s="25"/>
      <c r="BQ109" s="25"/>
      <c r="BR109" s="25"/>
      <c r="BS109" s="25"/>
      <c r="BT109" s="25"/>
      <c r="BU109" s="25"/>
      <c r="BV109" s="25"/>
      <c r="BW109" s="25"/>
      <c r="BX109" s="25"/>
      <c r="BY109" s="25"/>
      <c r="BZ109" s="25"/>
      <c r="CA109" s="25"/>
      <c r="CB109" s="25"/>
      <c r="CC109" s="25"/>
      <c r="CD109" s="25"/>
      <c r="CE109" s="25"/>
      <c r="CF109" s="25"/>
      <c r="CG109" s="25"/>
      <c r="CH109" s="25"/>
      <c r="CI109" s="25"/>
      <c r="CJ109" s="25"/>
      <c r="CK109" s="25"/>
      <c r="CL109" s="25"/>
      <c r="CM109" s="25"/>
      <c r="CN109" s="25"/>
      <c r="CO109" s="25"/>
      <c r="CP109" s="25"/>
      <c r="CQ109" s="25"/>
      <c r="CR109" s="25"/>
      <c r="CS109" s="25"/>
      <c r="CT109" s="25"/>
      <c r="CU109" s="25"/>
      <c r="CV109" s="25"/>
      <c r="CW109" s="25"/>
      <c r="CX109" s="25"/>
      <c r="CY109" s="25"/>
      <c r="CZ109" s="25"/>
      <c r="DA109" s="25"/>
      <c r="DB109" s="25"/>
      <c r="DC109" s="25"/>
      <c r="DD109" s="25"/>
      <c r="DE109" s="25"/>
      <c r="DF109" s="25"/>
      <c r="DG109" s="25"/>
      <c r="DH109" s="25"/>
      <c r="DI109" s="25"/>
      <c r="DJ109" s="25"/>
      <c r="DK109" s="25"/>
      <c r="DL109" s="25"/>
      <c r="DM109" s="25"/>
      <c r="DN109" s="25"/>
      <c r="DO109" s="25"/>
      <c r="DP109" s="25"/>
      <c r="DQ109" s="25"/>
    </row>
    <row r="110" spans="1:121" s="125" customFormat="1" ht="24.95" customHeight="1" x14ac:dyDescent="0.25">
      <c r="A110" s="436">
        <v>230</v>
      </c>
      <c r="B110" s="1021">
        <v>2212</v>
      </c>
      <c r="C110" s="1020">
        <v>6121</v>
      </c>
      <c r="D110" s="1055">
        <v>3205</v>
      </c>
      <c r="E110" s="1054" t="s">
        <v>482</v>
      </c>
      <c r="F110" s="482" t="s">
        <v>159</v>
      </c>
      <c r="G110" s="483">
        <v>400</v>
      </c>
      <c r="H110" s="483">
        <v>2016</v>
      </c>
      <c r="I110" s="484">
        <v>2020</v>
      </c>
      <c r="J110" s="462">
        <f t="shared" si="28"/>
        <v>7970</v>
      </c>
      <c r="K110" s="463">
        <v>0</v>
      </c>
      <c r="L110" s="464">
        <v>0</v>
      </c>
      <c r="M110" s="465">
        <f t="shared" si="29"/>
        <v>2470</v>
      </c>
      <c r="N110" s="466">
        <v>2470</v>
      </c>
      <c r="O110" s="475">
        <v>0</v>
      </c>
      <c r="P110" s="467">
        <v>0</v>
      </c>
      <c r="Q110" s="464">
        <v>0</v>
      </c>
      <c r="R110" s="469">
        <v>5500</v>
      </c>
      <c r="S110" s="467">
        <v>0</v>
      </c>
      <c r="T110" s="464">
        <v>0</v>
      </c>
      <c r="U110" s="469">
        <v>0</v>
      </c>
      <c r="V110" s="467">
        <v>0</v>
      </c>
      <c r="W110" s="464">
        <v>0</v>
      </c>
      <c r="X110" s="469">
        <v>0</v>
      </c>
      <c r="Y110" s="467">
        <v>0</v>
      </c>
      <c r="Z110" s="468">
        <v>0</v>
      </c>
      <c r="AA110" s="478">
        <v>0</v>
      </c>
      <c r="AB110" s="30"/>
      <c r="AC110" s="30"/>
      <c r="AD110" s="30"/>
      <c r="AE110" s="30"/>
      <c r="AF110" s="25"/>
      <c r="AG110" s="25"/>
      <c r="AH110" s="25"/>
      <c r="AI110" s="25"/>
      <c r="AJ110" s="25"/>
      <c r="AK110" s="25"/>
      <c r="AL110" s="25"/>
      <c r="AM110" s="25"/>
      <c r="AN110" s="25"/>
      <c r="AO110" s="25"/>
      <c r="AP110" s="25"/>
      <c r="AQ110" s="25"/>
      <c r="AR110" s="25"/>
      <c r="AS110" s="25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  <c r="BF110" s="25"/>
      <c r="BG110" s="25"/>
      <c r="BH110" s="25"/>
      <c r="BI110" s="25"/>
      <c r="BJ110" s="25"/>
      <c r="BK110" s="25"/>
      <c r="BL110" s="25"/>
      <c r="BM110" s="25"/>
      <c r="BN110" s="25"/>
      <c r="BO110" s="25"/>
      <c r="BP110" s="25"/>
      <c r="BQ110" s="25"/>
      <c r="BR110" s="25"/>
      <c r="BS110" s="25"/>
      <c r="BT110" s="25"/>
      <c r="BU110" s="25"/>
      <c r="BV110" s="25"/>
      <c r="BW110" s="25"/>
      <c r="BX110" s="25"/>
      <c r="BY110" s="25"/>
      <c r="BZ110" s="25"/>
      <c r="CA110" s="25"/>
      <c r="CB110" s="25"/>
      <c r="CC110" s="25"/>
      <c r="CD110" s="25"/>
      <c r="CE110" s="25"/>
      <c r="CF110" s="25"/>
      <c r="CG110" s="25"/>
      <c r="CH110" s="25"/>
      <c r="CI110" s="25"/>
      <c r="CJ110" s="25"/>
      <c r="CK110" s="25"/>
      <c r="CL110" s="25"/>
      <c r="CM110" s="25"/>
      <c r="CN110" s="25"/>
      <c r="CO110" s="25"/>
      <c r="CP110" s="25"/>
      <c r="CQ110" s="25"/>
      <c r="CR110" s="25"/>
      <c r="CS110" s="25"/>
      <c r="CT110" s="25"/>
      <c r="CU110" s="25"/>
      <c r="CV110" s="25"/>
      <c r="CW110" s="25"/>
      <c r="CX110" s="25"/>
      <c r="CY110" s="25"/>
      <c r="CZ110" s="25"/>
      <c r="DA110" s="25"/>
      <c r="DB110" s="25"/>
      <c r="DC110" s="25"/>
      <c r="DD110" s="25"/>
      <c r="DE110" s="25"/>
      <c r="DF110" s="25"/>
      <c r="DG110" s="25"/>
      <c r="DH110" s="25"/>
      <c r="DI110" s="25"/>
      <c r="DJ110" s="25"/>
      <c r="DK110" s="25"/>
      <c r="DL110" s="25"/>
      <c r="DM110" s="25"/>
      <c r="DN110" s="25"/>
      <c r="DO110" s="25"/>
      <c r="DP110" s="25"/>
      <c r="DQ110" s="25"/>
    </row>
    <row r="111" spans="1:121" s="125" customFormat="1" ht="24.95" customHeight="1" x14ac:dyDescent="0.25">
      <c r="A111" s="436">
        <v>230</v>
      </c>
      <c r="B111" s="926">
        <v>2212</v>
      </c>
      <c r="C111" s="925">
        <v>6121</v>
      </c>
      <c r="D111" s="1055">
        <v>3206</v>
      </c>
      <c r="E111" s="1054" t="s">
        <v>481</v>
      </c>
      <c r="F111" s="482" t="s">
        <v>147</v>
      </c>
      <c r="G111" s="483">
        <v>400</v>
      </c>
      <c r="H111" s="483">
        <v>2016</v>
      </c>
      <c r="I111" s="484">
        <v>2023</v>
      </c>
      <c r="J111" s="462">
        <f t="shared" si="28"/>
        <v>34532</v>
      </c>
      <c r="K111" s="463">
        <v>632</v>
      </c>
      <c r="L111" s="464">
        <v>31</v>
      </c>
      <c r="M111" s="465">
        <f t="shared" si="29"/>
        <v>2869</v>
      </c>
      <c r="N111" s="466">
        <v>2869</v>
      </c>
      <c r="O111" s="475">
        <v>0</v>
      </c>
      <c r="P111" s="467">
        <v>0</v>
      </c>
      <c r="Q111" s="464">
        <v>0</v>
      </c>
      <c r="R111" s="469">
        <v>15000</v>
      </c>
      <c r="S111" s="467">
        <v>0</v>
      </c>
      <c r="T111" s="464">
        <v>0</v>
      </c>
      <c r="U111" s="469">
        <v>16000</v>
      </c>
      <c r="V111" s="467">
        <v>0</v>
      </c>
      <c r="W111" s="464">
        <v>0</v>
      </c>
      <c r="X111" s="469">
        <v>0</v>
      </c>
      <c r="Y111" s="467">
        <v>0</v>
      </c>
      <c r="Z111" s="468">
        <v>0</v>
      </c>
      <c r="AA111" s="478">
        <v>0</v>
      </c>
      <c r="AB111" s="30"/>
      <c r="AC111" s="30"/>
      <c r="AD111" s="30"/>
      <c r="AE111" s="30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  <c r="BF111" s="25"/>
      <c r="BG111" s="25"/>
      <c r="BH111" s="25"/>
      <c r="BI111" s="25"/>
      <c r="BJ111" s="25"/>
      <c r="BK111" s="25"/>
      <c r="BL111" s="25"/>
      <c r="BM111" s="25"/>
      <c r="BN111" s="25"/>
      <c r="BO111" s="25"/>
      <c r="BP111" s="25"/>
      <c r="BQ111" s="25"/>
      <c r="BR111" s="25"/>
      <c r="BS111" s="25"/>
      <c r="BT111" s="25"/>
      <c r="BU111" s="25"/>
      <c r="BV111" s="25"/>
      <c r="BW111" s="25"/>
      <c r="BX111" s="25"/>
      <c r="BY111" s="25"/>
      <c r="BZ111" s="25"/>
      <c r="CA111" s="25"/>
      <c r="CB111" s="25"/>
      <c r="CC111" s="25"/>
      <c r="CD111" s="25"/>
      <c r="CE111" s="25"/>
      <c r="CF111" s="25"/>
      <c r="CG111" s="25"/>
      <c r="CH111" s="25"/>
      <c r="CI111" s="25"/>
      <c r="CJ111" s="25"/>
      <c r="CK111" s="25"/>
      <c r="CL111" s="25"/>
      <c r="CM111" s="25"/>
      <c r="CN111" s="25"/>
      <c r="CO111" s="25"/>
      <c r="CP111" s="25"/>
      <c r="CQ111" s="25"/>
      <c r="CR111" s="25"/>
      <c r="CS111" s="25"/>
      <c r="CT111" s="25"/>
      <c r="CU111" s="25"/>
      <c r="CV111" s="25"/>
      <c r="CW111" s="25"/>
      <c r="CX111" s="25"/>
      <c r="CY111" s="25"/>
      <c r="CZ111" s="25"/>
      <c r="DA111" s="25"/>
      <c r="DB111" s="25"/>
      <c r="DC111" s="25"/>
      <c r="DD111" s="25"/>
      <c r="DE111" s="25"/>
      <c r="DF111" s="25"/>
      <c r="DG111" s="25"/>
      <c r="DH111" s="25"/>
      <c r="DI111" s="25"/>
      <c r="DJ111" s="25"/>
      <c r="DK111" s="25"/>
      <c r="DL111" s="25"/>
      <c r="DM111" s="25"/>
      <c r="DN111" s="25"/>
      <c r="DO111" s="25"/>
      <c r="DP111" s="25"/>
      <c r="DQ111" s="25"/>
    </row>
    <row r="112" spans="1:121" s="125" customFormat="1" ht="24.95" customHeight="1" x14ac:dyDescent="0.25">
      <c r="A112" s="436">
        <v>230</v>
      </c>
      <c r="B112" s="1021">
        <v>2212</v>
      </c>
      <c r="C112" s="1020">
        <v>6121</v>
      </c>
      <c r="D112" s="1055">
        <v>3207</v>
      </c>
      <c r="E112" s="1054" t="s">
        <v>480</v>
      </c>
      <c r="F112" s="482" t="s">
        <v>145</v>
      </c>
      <c r="G112" s="483">
        <v>400</v>
      </c>
      <c r="H112" s="483">
        <v>2016</v>
      </c>
      <c r="I112" s="484">
        <v>2019</v>
      </c>
      <c r="J112" s="462">
        <f t="shared" si="28"/>
        <v>3800</v>
      </c>
      <c r="K112" s="463">
        <v>0</v>
      </c>
      <c r="L112" s="464">
        <v>0</v>
      </c>
      <c r="M112" s="465">
        <f t="shared" si="29"/>
        <v>300</v>
      </c>
      <c r="N112" s="466">
        <v>299</v>
      </c>
      <c r="O112" s="475">
        <v>1</v>
      </c>
      <c r="P112" s="467">
        <v>0</v>
      </c>
      <c r="Q112" s="464">
        <v>0</v>
      </c>
      <c r="R112" s="469">
        <v>3500</v>
      </c>
      <c r="S112" s="467">
        <v>0</v>
      </c>
      <c r="T112" s="464">
        <v>0</v>
      </c>
      <c r="U112" s="469">
        <v>0</v>
      </c>
      <c r="V112" s="467">
        <v>0</v>
      </c>
      <c r="W112" s="464">
        <v>0</v>
      </c>
      <c r="X112" s="469">
        <v>0</v>
      </c>
      <c r="Y112" s="467">
        <v>0</v>
      </c>
      <c r="Z112" s="468">
        <v>0</v>
      </c>
      <c r="AA112" s="478">
        <v>0</v>
      </c>
      <c r="AB112" s="30"/>
      <c r="AC112" s="30"/>
      <c r="AD112" s="30"/>
      <c r="AE112" s="30"/>
      <c r="AF112" s="25"/>
      <c r="AG112" s="25"/>
      <c r="AH112" s="25"/>
      <c r="AI112" s="25"/>
      <c r="AJ112" s="25"/>
      <c r="AK112" s="25"/>
      <c r="AL112" s="25"/>
      <c r="AM112" s="25"/>
      <c r="AN112" s="25"/>
      <c r="AO112" s="25"/>
      <c r="AP112" s="25"/>
      <c r="AQ112" s="25"/>
      <c r="AR112" s="25"/>
      <c r="AS112" s="25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  <c r="BF112" s="25"/>
      <c r="BG112" s="25"/>
      <c r="BH112" s="25"/>
      <c r="BI112" s="25"/>
      <c r="BJ112" s="25"/>
      <c r="BK112" s="25"/>
      <c r="BL112" s="25"/>
      <c r="BM112" s="25"/>
      <c r="BN112" s="25"/>
      <c r="BO112" s="25"/>
      <c r="BP112" s="25"/>
      <c r="BQ112" s="25"/>
      <c r="BR112" s="25"/>
      <c r="BS112" s="25"/>
      <c r="BT112" s="25"/>
      <c r="BU112" s="25"/>
      <c r="BV112" s="25"/>
      <c r="BW112" s="25"/>
      <c r="BX112" s="25"/>
      <c r="BY112" s="25"/>
      <c r="BZ112" s="25"/>
      <c r="CA112" s="25"/>
      <c r="CB112" s="25"/>
      <c r="CC112" s="25"/>
      <c r="CD112" s="25"/>
      <c r="CE112" s="25"/>
      <c r="CF112" s="25"/>
      <c r="CG112" s="25"/>
      <c r="CH112" s="25"/>
      <c r="CI112" s="25"/>
      <c r="CJ112" s="25"/>
      <c r="CK112" s="25"/>
      <c r="CL112" s="25"/>
      <c r="CM112" s="25"/>
      <c r="CN112" s="25"/>
      <c r="CO112" s="25"/>
      <c r="CP112" s="25"/>
      <c r="CQ112" s="25"/>
      <c r="CR112" s="25"/>
      <c r="CS112" s="25"/>
      <c r="CT112" s="25"/>
      <c r="CU112" s="25"/>
      <c r="CV112" s="25"/>
      <c r="CW112" s="25"/>
      <c r="CX112" s="25"/>
      <c r="CY112" s="25"/>
      <c r="CZ112" s="25"/>
      <c r="DA112" s="25"/>
      <c r="DB112" s="25"/>
      <c r="DC112" s="25"/>
      <c r="DD112" s="25"/>
      <c r="DE112" s="25"/>
      <c r="DF112" s="25"/>
      <c r="DG112" s="25"/>
      <c r="DH112" s="25"/>
      <c r="DI112" s="25"/>
      <c r="DJ112" s="25"/>
      <c r="DK112" s="25"/>
      <c r="DL112" s="25"/>
      <c r="DM112" s="25"/>
      <c r="DN112" s="25"/>
      <c r="DO112" s="25"/>
      <c r="DP112" s="25"/>
      <c r="DQ112" s="25"/>
    </row>
    <row r="113" spans="1:121" s="125" customFormat="1" ht="24.95" customHeight="1" x14ac:dyDescent="0.25">
      <c r="A113" s="436">
        <v>230</v>
      </c>
      <c r="B113" s="926">
        <v>2212</v>
      </c>
      <c r="C113" s="925">
        <v>6121</v>
      </c>
      <c r="D113" s="1055">
        <v>3209</v>
      </c>
      <c r="E113" s="1054" t="s">
        <v>479</v>
      </c>
      <c r="F113" s="482" t="s">
        <v>127</v>
      </c>
      <c r="G113" s="483">
        <v>400</v>
      </c>
      <c r="H113" s="483">
        <v>2017</v>
      </c>
      <c r="I113" s="484">
        <v>2022</v>
      </c>
      <c r="J113" s="462">
        <f t="shared" si="28"/>
        <v>156628</v>
      </c>
      <c r="K113" s="463">
        <v>712</v>
      </c>
      <c r="L113" s="464">
        <v>30</v>
      </c>
      <c r="M113" s="465">
        <f t="shared" si="29"/>
        <v>2386</v>
      </c>
      <c r="N113" s="466">
        <v>2386</v>
      </c>
      <c r="O113" s="475">
        <v>0</v>
      </c>
      <c r="P113" s="467">
        <v>0</v>
      </c>
      <c r="Q113" s="464">
        <v>0</v>
      </c>
      <c r="R113" s="469">
        <v>60000</v>
      </c>
      <c r="S113" s="467">
        <v>0</v>
      </c>
      <c r="T113" s="464">
        <v>0</v>
      </c>
      <c r="U113" s="469">
        <v>93500</v>
      </c>
      <c r="V113" s="467">
        <v>0</v>
      </c>
      <c r="W113" s="464">
        <v>0</v>
      </c>
      <c r="X113" s="469">
        <v>0</v>
      </c>
      <c r="Y113" s="467">
        <v>0</v>
      </c>
      <c r="Z113" s="468">
        <v>0</v>
      </c>
      <c r="AA113" s="478">
        <v>0</v>
      </c>
      <c r="AB113" s="30"/>
      <c r="AC113" s="30"/>
      <c r="AD113" s="30"/>
      <c r="AE113" s="30"/>
      <c r="AF113" s="25"/>
      <c r="AG113" s="25"/>
      <c r="AH113" s="25"/>
      <c r="AI113" s="25"/>
      <c r="AJ113" s="25"/>
      <c r="AK113" s="25"/>
      <c r="AL113" s="25"/>
      <c r="AM113" s="25"/>
      <c r="AN113" s="25"/>
      <c r="AO113" s="25"/>
      <c r="AP113" s="25"/>
      <c r="AQ113" s="25"/>
      <c r="AR113" s="25"/>
      <c r="AS113" s="25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  <c r="BF113" s="25"/>
      <c r="BG113" s="25"/>
      <c r="BH113" s="25"/>
      <c r="BI113" s="25"/>
      <c r="BJ113" s="25"/>
      <c r="BK113" s="25"/>
      <c r="BL113" s="25"/>
      <c r="BM113" s="25"/>
      <c r="BN113" s="25"/>
      <c r="BO113" s="25"/>
      <c r="BP113" s="25"/>
      <c r="BQ113" s="25"/>
      <c r="BR113" s="25"/>
      <c r="BS113" s="25"/>
      <c r="BT113" s="25"/>
      <c r="BU113" s="25"/>
      <c r="BV113" s="25"/>
      <c r="BW113" s="25"/>
      <c r="BX113" s="25"/>
      <c r="BY113" s="25"/>
      <c r="BZ113" s="25"/>
      <c r="CA113" s="25"/>
      <c r="CB113" s="25"/>
      <c r="CC113" s="25"/>
      <c r="CD113" s="25"/>
      <c r="CE113" s="25"/>
      <c r="CF113" s="25"/>
      <c r="CG113" s="25"/>
      <c r="CH113" s="25"/>
      <c r="CI113" s="25"/>
      <c r="CJ113" s="25"/>
      <c r="CK113" s="25"/>
      <c r="CL113" s="25"/>
      <c r="CM113" s="25"/>
      <c r="CN113" s="25"/>
      <c r="CO113" s="25"/>
      <c r="CP113" s="25"/>
      <c r="CQ113" s="25"/>
      <c r="CR113" s="25"/>
      <c r="CS113" s="25"/>
      <c r="CT113" s="25"/>
      <c r="CU113" s="25"/>
      <c r="CV113" s="25"/>
      <c r="CW113" s="25"/>
      <c r="CX113" s="25"/>
      <c r="CY113" s="25"/>
      <c r="CZ113" s="25"/>
      <c r="DA113" s="25"/>
      <c r="DB113" s="25"/>
      <c r="DC113" s="25"/>
      <c r="DD113" s="25"/>
      <c r="DE113" s="25"/>
      <c r="DF113" s="25"/>
      <c r="DG113" s="25"/>
      <c r="DH113" s="25"/>
      <c r="DI113" s="25"/>
      <c r="DJ113" s="25"/>
      <c r="DK113" s="25"/>
      <c r="DL113" s="25"/>
      <c r="DM113" s="25"/>
      <c r="DN113" s="25"/>
      <c r="DO113" s="25"/>
      <c r="DP113" s="25"/>
      <c r="DQ113" s="25"/>
    </row>
    <row r="114" spans="1:121" s="125" customFormat="1" ht="24.95" customHeight="1" x14ac:dyDescent="0.25">
      <c r="A114" s="436">
        <v>230</v>
      </c>
      <c r="B114" s="666">
        <v>2212</v>
      </c>
      <c r="C114" s="667">
        <v>6121</v>
      </c>
      <c r="D114" s="1230">
        <v>3216</v>
      </c>
      <c r="E114" s="911" t="s">
        <v>478</v>
      </c>
      <c r="F114" s="110" t="s">
        <v>201</v>
      </c>
      <c r="G114" s="111">
        <v>400</v>
      </c>
      <c r="H114" s="111">
        <v>2017</v>
      </c>
      <c r="I114" s="112">
        <v>2019</v>
      </c>
      <c r="J114" s="462">
        <f t="shared" si="28"/>
        <v>2349</v>
      </c>
      <c r="K114" s="463">
        <v>0</v>
      </c>
      <c r="L114" s="464">
        <v>0</v>
      </c>
      <c r="M114" s="465">
        <f t="shared" si="29"/>
        <v>2349</v>
      </c>
      <c r="N114" s="466">
        <v>49</v>
      </c>
      <c r="O114" s="475">
        <v>2300</v>
      </c>
      <c r="P114" s="467">
        <v>0</v>
      </c>
      <c r="Q114" s="464">
        <v>0</v>
      </c>
      <c r="R114" s="469">
        <v>0</v>
      </c>
      <c r="S114" s="467">
        <v>0</v>
      </c>
      <c r="T114" s="464">
        <v>0</v>
      </c>
      <c r="U114" s="469">
        <v>0</v>
      </c>
      <c r="V114" s="467">
        <v>0</v>
      </c>
      <c r="W114" s="464">
        <v>0</v>
      </c>
      <c r="X114" s="469">
        <v>0</v>
      </c>
      <c r="Y114" s="467">
        <v>0</v>
      </c>
      <c r="Z114" s="468">
        <v>0</v>
      </c>
      <c r="AA114" s="478">
        <v>0</v>
      </c>
      <c r="AB114" s="30"/>
      <c r="AC114" s="30"/>
      <c r="AD114" s="30"/>
      <c r="AE114" s="30"/>
      <c r="AF114" s="25"/>
      <c r="AG114" s="25"/>
      <c r="AH114" s="25"/>
      <c r="AI114" s="25"/>
      <c r="AJ114" s="25"/>
      <c r="AK114" s="25"/>
      <c r="AL114" s="25"/>
      <c r="AM114" s="25"/>
      <c r="AN114" s="25"/>
      <c r="AO114" s="25"/>
      <c r="AP114" s="25"/>
      <c r="AQ114" s="25"/>
      <c r="AR114" s="25"/>
      <c r="AS114" s="25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  <c r="BF114" s="25"/>
      <c r="BG114" s="25"/>
      <c r="BH114" s="25"/>
      <c r="BI114" s="25"/>
      <c r="BJ114" s="25"/>
      <c r="BK114" s="25"/>
      <c r="BL114" s="25"/>
      <c r="BM114" s="25"/>
      <c r="BN114" s="25"/>
      <c r="BO114" s="25"/>
      <c r="BP114" s="25"/>
      <c r="BQ114" s="25"/>
      <c r="BR114" s="25"/>
      <c r="BS114" s="25"/>
      <c r="BT114" s="25"/>
      <c r="BU114" s="25"/>
      <c r="BV114" s="25"/>
      <c r="BW114" s="25"/>
      <c r="BX114" s="25"/>
      <c r="BY114" s="25"/>
      <c r="BZ114" s="25"/>
      <c r="CA114" s="25"/>
      <c r="CB114" s="25"/>
      <c r="CC114" s="25"/>
      <c r="CD114" s="25"/>
      <c r="CE114" s="25"/>
      <c r="CF114" s="25"/>
      <c r="CG114" s="25"/>
      <c r="CH114" s="25"/>
      <c r="CI114" s="25"/>
      <c r="CJ114" s="25"/>
      <c r="CK114" s="25"/>
      <c r="CL114" s="25"/>
      <c r="CM114" s="25"/>
      <c r="CN114" s="25"/>
      <c r="CO114" s="25"/>
      <c r="CP114" s="25"/>
      <c r="CQ114" s="25"/>
      <c r="CR114" s="25"/>
      <c r="CS114" s="25"/>
      <c r="CT114" s="25"/>
      <c r="CU114" s="25"/>
      <c r="CV114" s="25"/>
      <c r="CW114" s="25"/>
      <c r="CX114" s="25"/>
      <c r="CY114" s="25"/>
      <c r="CZ114" s="25"/>
      <c r="DA114" s="25"/>
      <c r="DB114" s="25"/>
      <c r="DC114" s="25"/>
      <c r="DD114" s="25"/>
      <c r="DE114" s="25"/>
      <c r="DF114" s="25"/>
      <c r="DG114" s="25"/>
      <c r="DH114" s="25"/>
      <c r="DI114" s="25"/>
      <c r="DJ114" s="25"/>
      <c r="DK114" s="25"/>
      <c r="DL114" s="25"/>
      <c r="DM114" s="25"/>
      <c r="DN114" s="25"/>
      <c r="DO114" s="25"/>
      <c r="DP114" s="25"/>
      <c r="DQ114" s="25"/>
    </row>
    <row r="115" spans="1:121" s="125" customFormat="1" ht="24.95" customHeight="1" x14ac:dyDescent="0.25">
      <c r="A115" s="436">
        <v>230</v>
      </c>
      <c r="B115" s="666">
        <v>2212</v>
      </c>
      <c r="C115" s="667">
        <v>6121</v>
      </c>
      <c r="D115" s="1055">
        <v>3217</v>
      </c>
      <c r="E115" s="1054" t="s">
        <v>477</v>
      </c>
      <c r="F115" s="110" t="s">
        <v>127</v>
      </c>
      <c r="G115" s="111">
        <v>400</v>
      </c>
      <c r="H115" s="111">
        <v>2017</v>
      </c>
      <c r="I115" s="112">
        <v>2019</v>
      </c>
      <c r="J115" s="462">
        <f t="shared" si="28"/>
        <v>149000</v>
      </c>
      <c r="K115" s="463">
        <v>0</v>
      </c>
      <c r="L115" s="464">
        <v>1196</v>
      </c>
      <c r="M115" s="465">
        <f t="shared" si="29"/>
        <v>1804</v>
      </c>
      <c r="N115" s="466">
        <v>804</v>
      </c>
      <c r="O115" s="475">
        <f>1000</f>
        <v>1000</v>
      </c>
      <c r="P115" s="467">
        <v>0</v>
      </c>
      <c r="Q115" s="464">
        <v>0</v>
      </c>
      <c r="R115" s="469">
        <v>10000</v>
      </c>
      <c r="S115" s="467">
        <v>0</v>
      </c>
      <c r="T115" s="464">
        <v>0</v>
      </c>
      <c r="U115" s="469">
        <v>15000</v>
      </c>
      <c r="V115" s="467">
        <v>0</v>
      </c>
      <c r="W115" s="464">
        <v>0</v>
      </c>
      <c r="X115" s="469">
        <v>121000</v>
      </c>
      <c r="Y115" s="467">
        <v>0</v>
      </c>
      <c r="Z115" s="468">
        <v>0</v>
      </c>
      <c r="AA115" s="478">
        <v>0</v>
      </c>
      <c r="AB115" s="30"/>
      <c r="AC115" s="30"/>
      <c r="AD115" s="30"/>
      <c r="AE115" s="30"/>
      <c r="AF115" s="25"/>
      <c r="AG115" s="25"/>
      <c r="AH115" s="25"/>
      <c r="AI115" s="25"/>
      <c r="AJ115" s="25"/>
      <c r="AK115" s="25"/>
      <c r="AL115" s="25"/>
      <c r="AM115" s="25"/>
      <c r="AN115" s="25"/>
      <c r="AO115" s="25"/>
      <c r="AP115" s="25"/>
      <c r="AQ115" s="25"/>
      <c r="AR115" s="25"/>
      <c r="AS115" s="25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  <c r="BF115" s="25"/>
      <c r="BG115" s="25"/>
      <c r="BH115" s="25"/>
      <c r="BI115" s="25"/>
      <c r="BJ115" s="25"/>
      <c r="BK115" s="25"/>
      <c r="BL115" s="25"/>
      <c r="BM115" s="25"/>
      <c r="BN115" s="25"/>
      <c r="BO115" s="25"/>
      <c r="BP115" s="25"/>
      <c r="BQ115" s="25"/>
      <c r="BR115" s="25"/>
      <c r="BS115" s="25"/>
      <c r="BT115" s="25"/>
      <c r="BU115" s="25"/>
      <c r="BV115" s="25"/>
      <c r="BW115" s="25"/>
      <c r="BX115" s="25"/>
      <c r="BY115" s="25"/>
      <c r="BZ115" s="25"/>
      <c r="CA115" s="25"/>
      <c r="CB115" s="25"/>
      <c r="CC115" s="25"/>
      <c r="CD115" s="25"/>
      <c r="CE115" s="25"/>
      <c r="CF115" s="25"/>
      <c r="CG115" s="25"/>
      <c r="CH115" s="25"/>
      <c r="CI115" s="25"/>
      <c r="CJ115" s="25"/>
      <c r="CK115" s="25"/>
      <c r="CL115" s="25"/>
      <c r="CM115" s="25"/>
      <c r="CN115" s="25"/>
      <c r="CO115" s="25"/>
      <c r="CP115" s="25"/>
      <c r="CQ115" s="25"/>
      <c r="CR115" s="25"/>
      <c r="CS115" s="25"/>
      <c r="CT115" s="25"/>
      <c r="CU115" s="25"/>
      <c r="CV115" s="25"/>
      <c r="CW115" s="25"/>
      <c r="CX115" s="25"/>
      <c r="CY115" s="25"/>
      <c r="CZ115" s="25"/>
      <c r="DA115" s="25"/>
      <c r="DB115" s="25"/>
      <c r="DC115" s="25"/>
      <c r="DD115" s="25"/>
      <c r="DE115" s="25"/>
      <c r="DF115" s="25"/>
      <c r="DG115" s="25"/>
      <c r="DH115" s="25"/>
      <c r="DI115" s="25"/>
      <c r="DJ115" s="25"/>
      <c r="DK115" s="25"/>
      <c r="DL115" s="25"/>
      <c r="DM115" s="25"/>
      <c r="DN115" s="25"/>
      <c r="DO115" s="25"/>
      <c r="DP115" s="25"/>
      <c r="DQ115" s="25"/>
    </row>
    <row r="116" spans="1:121" s="125" customFormat="1" ht="24.95" customHeight="1" x14ac:dyDescent="0.25">
      <c r="A116" s="436">
        <v>230</v>
      </c>
      <c r="B116" s="666">
        <v>2212</v>
      </c>
      <c r="C116" s="667">
        <v>6121</v>
      </c>
      <c r="D116" s="1055">
        <v>3221</v>
      </c>
      <c r="E116" s="1350" t="s">
        <v>476</v>
      </c>
      <c r="F116" s="110" t="s">
        <v>117</v>
      </c>
      <c r="G116" s="111">
        <v>400</v>
      </c>
      <c r="H116" s="111">
        <v>2017</v>
      </c>
      <c r="I116" s="112">
        <v>2019</v>
      </c>
      <c r="J116" s="462">
        <f t="shared" si="28"/>
        <v>1965</v>
      </c>
      <c r="K116" s="463">
        <v>12</v>
      </c>
      <c r="L116" s="464">
        <v>134</v>
      </c>
      <c r="M116" s="465">
        <f t="shared" si="29"/>
        <v>1819</v>
      </c>
      <c r="N116" s="466">
        <v>1419</v>
      </c>
      <c r="O116" s="475">
        <v>400</v>
      </c>
      <c r="P116" s="467">
        <v>0</v>
      </c>
      <c r="Q116" s="464">
        <v>0</v>
      </c>
      <c r="R116" s="469">
        <v>0</v>
      </c>
      <c r="S116" s="467">
        <v>0</v>
      </c>
      <c r="T116" s="464">
        <v>0</v>
      </c>
      <c r="U116" s="469">
        <v>0</v>
      </c>
      <c r="V116" s="467">
        <v>0</v>
      </c>
      <c r="W116" s="464">
        <v>0</v>
      </c>
      <c r="X116" s="469">
        <v>0</v>
      </c>
      <c r="Y116" s="467">
        <v>0</v>
      </c>
      <c r="Z116" s="468">
        <v>0</v>
      </c>
      <c r="AA116" s="478">
        <v>0</v>
      </c>
      <c r="AB116" s="30"/>
      <c r="AC116" s="30"/>
      <c r="AD116" s="30"/>
      <c r="AE116" s="30"/>
      <c r="AF116" s="25"/>
      <c r="AG116" s="25"/>
      <c r="AH116" s="25"/>
      <c r="AI116" s="25"/>
      <c r="AJ116" s="25"/>
      <c r="AK116" s="25"/>
      <c r="AL116" s="25"/>
      <c r="AM116" s="25"/>
      <c r="AN116" s="25"/>
      <c r="AO116" s="25"/>
      <c r="AP116" s="25"/>
      <c r="AQ116" s="25"/>
      <c r="AR116" s="25"/>
      <c r="AS116" s="25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  <c r="BF116" s="25"/>
      <c r="BG116" s="25"/>
      <c r="BH116" s="25"/>
      <c r="BI116" s="25"/>
      <c r="BJ116" s="25"/>
      <c r="BK116" s="25"/>
      <c r="BL116" s="25"/>
      <c r="BM116" s="25"/>
      <c r="BN116" s="25"/>
      <c r="BO116" s="25"/>
      <c r="BP116" s="25"/>
      <c r="BQ116" s="25"/>
      <c r="BR116" s="25"/>
      <c r="BS116" s="25"/>
      <c r="BT116" s="25"/>
      <c r="BU116" s="25"/>
      <c r="BV116" s="25"/>
      <c r="BW116" s="25"/>
      <c r="BX116" s="25"/>
      <c r="BY116" s="25"/>
      <c r="BZ116" s="25"/>
      <c r="CA116" s="25"/>
      <c r="CB116" s="25"/>
      <c r="CC116" s="25"/>
      <c r="CD116" s="25"/>
      <c r="CE116" s="25"/>
      <c r="CF116" s="25"/>
      <c r="CG116" s="25"/>
      <c r="CH116" s="25"/>
      <c r="CI116" s="25"/>
      <c r="CJ116" s="25"/>
      <c r="CK116" s="25"/>
      <c r="CL116" s="25"/>
      <c r="CM116" s="25"/>
      <c r="CN116" s="25"/>
      <c r="CO116" s="25"/>
      <c r="CP116" s="25"/>
      <c r="CQ116" s="25"/>
      <c r="CR116" s="25"/>
      <c r="CS116" s="25"/>
      <c r="CT116" s="25"/>
      <c r="CU116" s="25"/>
      <c r="CV116" s="25"/>
      <c r="CW116" s="25"/>
      <c r="CX116" s="25"/>
      <c r="CY116" s="25"/>
      <c r="CZ116" s="25"/>
      <c r="DA116" s="25"/>
      <c r="DB116" s="25"/>
      <c r="DC116" s="25"/>
      <c r="DD116" s="25"/>
      <c r="DE116" s="25"/>
      <c r="DF116" s="25"/>
      <c r="DG116" s="25"/>
      <c r="DH116" s="25"/>
      <c r="DI116" s="25"/>
      <c r="DJ116" s="25"/>
      <c r="DK116" s="25"/>
      <c r="DL116" s="25"/>
      <c r="DM116" s="25"/>
      <c r="DN116" s="25"/>
      <c r="DO116" s="25"/>
      <c r="DP116" s="25"/>
      <c r="DQ116" s="25"/>
    </row>
    <row r="117" spans="1:121" s="125" customFormat="1" ht="24.95" customHeight="1" x14ac:dyDescent="0.25">
      <c r="A117" s="436">
        <v>230</v>
      </c>
      <c r="B117" s="666">
        <v>2212</v>
      </c>
      <c r="C117" s="667">
        <v>6121</v>
      </c>
      <c r="D117" s="1351">
        <v>3222</v>
      </c>
      <c r="E117" s="1352" t="s">
        <v>475</v>
      </c>
      <c r="F117" s="110" t="s">
        <v>474</v>
      </c>
      <c r="G117" s="111">
        <v>400</v>
      </c>
      <c r="H117" s="111">
        <v>8</v>
      </c>
      <c r="I117" s="112">
        <v>17</v>
      </c>
      <c r="J117" s="462">
        <f t="shared" si="28"/>
        <v>39687</v>
      </c>
      <c r="K117" s="463">
        <v>36587</v>
      </c>
      <c r="L117" s="464">
        <v>2720</v>
      </c>
      <c r="M117" s="465">
        <f t="shared" si="29"/>
        <v>380</v>
      </c>
      <c r="N117" s="466">
        <v>380</v>
      </c>
      <c r="O117" s="475">
        <v>0</v>
      </c>
      <c r="P117" s="467">
        <v>0</v>
      </c>
      <c r="Q117" s="464">
        <v>0</v>
      </c>
      <c r="R117" s="469">
        <v>0</v>
      </c>
      <c r="S117" s="467">
        <v>0</v>
      </c>
      <c r="T117" s="464">
        <v>0</v>
      </c>
      <c r="U117" s="469">
        <v>0</v>
      </c>
      <c r="V117" s="467">
        <v>0</v>
      </c>
      <c r="W117" s="464">
        <v>0</v>
      </c>
      <c r="X117" s="469">
        <v>0</v>
      </c>
      <c r="Y117" s="467">
        <v>0</v>
      </c>
      <c r="Z117" s="468">
        <v>0</v>
      </c>
      <c r="AA117" s="478">
        <v>0</v>
      </c>
      <c r="AB117" s="30"/>
      <c r="AC117" s="30"/>
      <c r="AD117" s="30"/>
      <c r="AE117" s="30"/>
      <c r="AF117" s="25"/>
      <c r="AG117" s="25"/>
      <c r="AH117" s="25"/>
      <c r="AI117" s="25"/>
      <c r="AJ117" s="25"/>
      <c r="AK117" s="25"/>
      <c r="AL117" s="25"/>
      <c r="AM117" s="25"/>
      <c r="AN117" s="25"/>
      <c r="AO117" s="25"/>
      <c r="AP117" s="25"/>
      <c r="AQ117" s="25"/>
      <c r="AR117" s="25"/>
      <c r="AS117" s="25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  <c r="BF117" s="25"/>
      <c r="BG117" s="25"/>
      <c r="BH117" s="25"/>
      <c r="BI117" s="25"/>
      <c r="BJ117" s="25"/>
      <c r="BK117" s="25"/>
      <c r="BL117" s="25"/>
      <c r="BM117" s="25"/>
      <c r="BN117" s="25"/>
      <c r="BO117" s="25"/>
      <c r="BP117" s="25"/>
      <c r="BQ117" s="25"/>
      <c r="BR117" s="25"/>
      <c r="BS117" s="25"/>
      <c r="BT117" s="25"/>
      <c r="BU117" s="25"/>
      <c r="BV117" s="25"/>
      <c r="BW117" s="25"/>
      <c r="BX117" s="25"/>
      <c r="BY117" s="25"/>
      <c r="BZ117" s="25"/>
      <c r="CA117" s="25"/>
      <c r="CB117" s="25"/>
      <c r="CC117" s="25"/>
      <c r="CD117" s="25"/>
      <c r="CE117" s="25"/>
      <c r="CF117" s="25"/>
      <c r="CG117" s="25"/>
      <c r="CH117" s="25"/>
      <c r="CI117" s="25"/>
      <c r="CJ117" s="25"/>
      <c r="CK117" s="25"/>
      <c r="CL117" s="25"/>
      <c r="CM117" s="25"/>
      <c r="CN117" s="25"/>
      <c r="CO117" s="25"/>
      <c r="CP117" s="25"/>
      <c r="CQ117" s="25"/>
      <c r="CR117" s="25"/>
      <c r="CS117" s="25"/>
      <c r="CT117" s="25"/>
      <c r="CU117" s="25"/>
      <c r="CV117" s="25"/>
      <c r="CW117" s="25"/>
      <c r="CX117" s="25"/>
      <c r="CY117" s="25"/>
      <c r="CZ117" s="25"/>
      <c r="DA117" s="25"/>
      <c r="DB117" s="25"/>
      <c r="DC117" s="25"/>
      <c r="DD117" s="25"/>
      <c r="DE117" s="25"/>
      <c r="DF117" s="25"/>
      <c r="DG117" s="25"/>
      <c r="DH117" s="25"/>
      <c r="DI117" s="25"/>
      <c r="DJ117" s="25"/>
      <c r="DK117" s="25"/>
      <c r="DL117" s="25"/>
      <c r="DM117" s="25"/>
      <c r="DN117" s="25"/>
      <c r="DO117" s="25"/>
      <c r="DP117" s="25"/>
      <c r="DQ117" s="25"/>
    </row>
    <row r="118" spans="1:121" s="125" customFormat="1" ht="24.95" customHeight="1" x14ac:dyDescent="0.25">
      <c r="A118" s="436">
        <v>230</v>
      </c>
      <c r="B118" s="666">
        <v>2212</v>
      </c>
      <c r="C118" s="667">
        <v>6121</v>
      </c>
      <c r="D118" s="1231">
        <v>3231</v>
      </c>
      <c r="E118" s="910" t="s">
        <v>473</v>
      </c>
      <c r="F118" s="110" t="s">
        <v>147</v>
      </c>
      <c r="G118" s="111">
        <v>400</v>
      </c>
      <c r="H118" s="111">
        <v>2017</v>
      </c>
      <c r="I118" s="112">
        <v>2020</v>
      </c>
      <c r="J118" s="462">
        <f t="shared" si="28"/>
        <v>37200</v>
      </c>
      <c r="K118" s="463">
        <v>0</v>
      </c>
      <c r="L118" s="464">
        <v>923</v>
      </c>
      <c r="M118" s="465">
        <f t="shared" si="29"/>
        <v>77</v>
      </c>
      <c r="N118" s="466">
        <v>77</v>
      </c>
      <c r="O118" s="475">
        <f>300-300</f>
        <v>0</v>
      </c>
      <c r="P118" s="467">
        <v>0</v>
      </c>
      <c r="Q118" s="464">
        <v>0</v>
      </c>
      <c r="R118" s="469">
        <v>36200</v>
      </c>
      <c r="S118" s="467">
        <v>0</v>
      </c>
      <c r="T118" s="464">
        <v>0</v>
      </c>
      <c r="U118" s="469">
        <v>0</v>
      </c>
      <c r="V118" s="467">
        <v>0</v>
      </c>
      <c r="W118" s="464">
        <v>0</v>
      </c>
      <c r="X118" s="469">
        <v>0</v>
      </c>
      <c r="Y118" s="467">
        <v>0</v>
      </c>
      <c r="Z118" s="468">
        <v>0</v>
      </c>
      <c r="AA118" s="478">
        <v>0</v>
      </c>
      <c r="AB118" s="30"/>
      <c r="AC118" s="30"/>
      <c r="AD118" s="30"/>
      <c r="AE118" s="30"/>
      <c r="AF118" s="25"/>
      <c r="AG118" s="25"/>
      <c r="AH118" s="25"/>
      <c r="AI118" s="25"/>
      <c r="AJ118" s="25"/>
      <c r="AK118" s="25"/>
      <c r="AL118" s="25"/>
      <c r="AM118" s="25"/>
      <c r="AN118" s="25"/>
      <c r="AO118" s="25"/>
      <c r="AP118" s="25"/>
      <c r="AQ118" s="25"/>
      <c r="AR118" s="25"/>
      <c r="AS118" s="25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  <c r="BF118" s="25"/>
      <c r="BG118" s="25"/>
      <c r="BH118" s="25"/>
      <c r="BI118" s="25"/>
      <c r="BJ118" s="25"/>
      <c r="BK118" s="25"/>
      <c r="BL118" s="25"/>
      <c r="BM118" s="25"/>
      <c r="BN118" s="25"/>
      <c r="BO118" s="25"/>
      <c r="BP118" s="25"/>
      <c r="BQ118" s="25"/>
      <c r="BR118" s="25"/>
      <c r="BS118" s="25"/>
      <c r="BT118" s="25"/>
      <c r="BU118" s="25"/>
      <c r="BV118" s="25"/>
      <c r="BW118" s="25"/>
      <c r="BX118" s="25"/>
      <c r="BY118" s="25"/>
      <c r="BZ118" s="25"/>
      <c r="CA118" s="25"/>
      <c r="CB118" s="25"/>
      <c r="CC118" s="25"/>
      <c r="CD118" s="25"/>
      <c r="CE118" s="25"/>
      <c r="CF118" s="25"/>
      <c r="CG118" s="25"/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25"/>
      <c r="CT118" s="25"/>
      <c r="CU118" s="25"/>
      <c r="CV118" s="25"/>
      <c r="CW118" s="25"/>
      <c r="CX118" s="25"/>
      <c r="CY118" s="25"/>
      <c r="CZ118" s="25"/>
      <c r="DA118" s="25"/>
      <c r="DB118" s="25"/>
      <c r="DC118" s="25"/>
      <c r="DD118" s="25"/>
      <c r="DE118" s="25"/>
      <c r="DF118" s="25"/>
      <c r="DG118" s="25"/>
      <c r="DH118" s="25"/>
      <c r="DI118" s="25"/>
      <c r="DJ118" s="25"/>
      <c r="DK118" s="25"/>
      <c r="DL118" s="25"/>
      <c r="DM118" s="25"/>
      <c r="DN118" s="25"/>
      <c r="DO118" s="25"/>
      <c r="DP118" s="25"/>
      <c r="DQ118" s="25"/>
    </row>
    <row r="119" spans="1:121" s="125" customFormat="1" ht="24.95" customHeight="1" x14ac:dyDescent="0.25">
      <c r="A119" s="436">
        <v>230</v>
      </c>
      <c r="B119" s="666">
        <v>2212</v>
      </c>
      <c r="C119" s="667">
        <v>6121</v>
      </c>
      <c r="D119" s="1230">
        <v>3232</v>
      </c>
      <c r="E119" s="911" t="s">
        <v>472</v>
      </c>
      <c r="F119" s="110" t="s">
        <v>127</v>
      </c>
      <c r="G119" s="111">
        <v>400</v>
      </c>
      <c r="H119" s="111">
        <v>2017</v>
      </c>
      <c r="I119" s="112">
        <v>2019</v>
      </c>
      <c r="J119" s="462">
        <f t="shared" si="28"/>
        <v>19000</v>
      </c>
      <c r="K119" s="463">
        <v>0</v>
      </c>
      <c r="L119" s="464">
        <v>5276</v>
      </c>
      <c r="M119" s="465">
        <f t="shared" si="29"/>
        <v>13724</v>
      </c>
      <c r="N119" s="466">
        <v>3724</v>
      </c>
      <c r="O119" s="475">
        <v>10000</v>
      </c>
      <c r="P119" s="467">
        <v>0</v>
      </c>
      <c r="Q119" s="464">
        <v>0</v>
      </c>
      <c r="R119" s="469">
        <v>0</v>
      </c>
      <c r="S119" s="467">
        <v>0</v>
      </c>
      <c r="T119" s="464">
        <v>0</v>
      </c>
      <c r="U119" s="469">
        <v>0</v>
      </c>
      <c r="V119" s="467">
        <v>0</v>
      </c>
      <c r="W119" s="464">
        <v>0</v>
      </c>
      <c r="X119" s="469">
        <v>0</v>
      </c>
      <c r="Y119" s="467">
        <v>0</v>
      </c>
      <c r="Z119" s="468">
        <v>0</v>
      </c>
      <c r="AA119" s="478">
        <v>0</v>
      </c>
      <c r="AB119" s="30"/>
      <c r="AC119" s="30"/>
      <c r="AD119" s="30"/>
      <c r="AE119" s="30"/>
      <c r="AF119" s="25"/>
      <c r="AG119" s="25"/>
      <c r="AH119" s="25"/>
      <c r="AI119" s="25"/>
      <c r="AJ119" s="25"/>
      <c r="AK119" s="25"/>
      <c r="AL119" s="25"/>
      <c r="AM119" s="25"/>
      <c r="AN119" s="25"/>
      <c r="AO119" s="25"/>
      <c r="AP119" s="25"/>
      <c r="AQ119" s="25"/>
      <c r="AR119" s="25"/>
      <c r="AS119" s="25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  <c r="BF119" s="25"/>
      <c r="BG119" s="25"/>
      <c r="BH119" s="25"/>
      <c r="BI119" s="25"/>
      <c r="BJ119" s="25"/>
      <c r="BK119" s="25"/>
      <c r="BL119" s="25"/>
      <c r="BM119" s="25"/>
      <c r="BN119" s="25"/>
      <c r="BO119" s="25"/>
      <c r="BP119" s="25"/>
      <c r="BQ119" s="25"/>
      <c r="BR119" s="25"/>
      <c r="BS119" s="25"/>
      <c r="BT119" s="25"/>
      <c r="BU119" s="25"/>
      <c r="BV119" s="25"/>
      <c r="BW119" s="25"/>
      <c r="BX119" s="25"/>
      <c r="BY119" s="25"/>
      <c r="BZ119" s="25"/>
      <c r="CA119" s="25"/>
      <c r="CB119" s="25"/>
      <c r="CC119" s="25"/>
      <c r="CD119" s="25"/>
      <c r="CE119" s="25"/>
      <c r="CF119" s="25"/>
      <c r="CG119" s="25"/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25"/>
      <c r="CT119" s="25"/>
      <c r="CU119" s="25"/>
      <c r="CV119" s="25"/>
      <c r="CW119" s="25"/>
      <c r="CX119" s="25"/>
      <c r="CY119" s="25"/>
      <c r="CZ119" s="25"/>
      <c r="DA119" s="25"/>
      <c r="DB119" s="25"/>
      <c r="DC119" s="25"/>
      <c r="DD119" s="25"/>
      <c r="DE119" s="25"/>
      <c r="DF119" s="25"/>
      <c r="DG119" s="25"/>
      <c r="DH119" s="25"/>
      <c r="DI119" s="25"/>
      <c r="DJ119" s="25"/>
      <c r="DK119" s="25"/>
      <c r="DL119" s="25"/>
      <c r="DM119" s="25"/>
      <c r="DN119" s="25"/>
      <c r="DO119" s="25"/>
      <c r="DP119" s="25"/>
      <c r="DQ119" s="25"/>
    </row>
    <row r="120" spans="1:121" s="23" customFormat="1" ht="24.95" customHeight="1" x14ac:dyDescent="0.25">
      <c r="A120" s="436">
        <v>230</v>
      </c>
      <c r="B120" s="1057">
        <v>2212</v>
      </c>
      <c r="C120" s="1056">
        <v>6121</v>
      </c>
      <c r="D120" s="1066">
        <v>3234</v>
      </c>
      <c r="E120" s="911" t="s">
        <v>471</v>
      </c>
      <c r="F120" s="1053" t="s">
        <v>127</v>
      </c>
      <c r="G120" s="1052">
        <v>400</v>
      </c>
      <c r="H120" s="1052">
        <v>2015</v>
      </c>
      <c r="I120" s="1051">
        <v>2019</v>
      </c>
      <c r="J120" s="613">
        <f t="shared" si="28"/>
        <v>3676</v>
      </c>
      <c r="K120" s="614">
        <v>126</v>
      </c>
      <c r="L120" s="123">
        <v>1800</v>
      </c>
      <c r="M120" s="615">
        <f t="shared" si="29"/>
        <v>1750</v>
      </c>
      <c r="N120" s="616">
        <v>1750</v>
      </c>
      <c r="O120" s="118">
        <v>0</v>
      </c>
      <c r="P120" s="638">
        <v>0</v>
      </c>
      <c r="Q120" s="1050">
        <v>0</v>
      </c>
      <c r="R120" s="144">
        <v>0</v>
      </c>
      <c r="S120" s="638">
        <v>0</v>
      </c>
      <c r="T120" s="1050">
        <v>0</v>
      </c>
      <c r="U120" s="144">
        <v>0</v>
      </c>
      <c r="V120" s="638">
        <v>0</v>
      </c>
      <c r="W120" s="1050">
        <v>0</v>
      </c>
      <c r="X120" s="144">
        <v>0</v>
      </c>
      <c r="Y120" s="638">
        <v>0</v>
      </c>
      <c r="Z120" s="1199">
        <v>0</v>
      </c>
      <c r="AA120" s="632">
        <v>0</v>
      </c>
      <c r="AB120" s="25"/>
      <c r="AC120" s="25"/>
      <c r="AD120" s="25"/>
      <c r="AE120" s="25"/>
      <c r="AF120" s="25"/>
      <c r="AG120" s="25"/>
      <c r="AH120" s="25"/>
      <c r="AI120" s="25"/>
      <c r="AJ120" s="25"/>
      <c r="AK120" s="25"/>
      <c r="AL120" s="25"/>
      <c r="AM120" s="25"/>
      <c r="AN120" s="25"/>
      <c r="AO120" s="25"/>
      <c r="AP120" s="25"/>
      <c r="AQ120" s="25"/>
      <c r="AR120" s="25"/>
      <c r="AS120" s="25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  <c r="BF120" s="25"/>
      <c r="BG120" s="25"/>
      <c r="BH120" s="25"/>
      <c r="BI120" s="25"/>
      <c r="BJ120" s="25"/>
      <c r="BK120" s="25"/>
      <c r="BL120" s="25"/>
      <c r="BM120" s="25"/>
      <c r="BN120" s="25"/>
      <c r="BO120" s="25"/>
      <c r="BP120" s="25"/>
      <c r="BQ120" s="25"/>
      <c r="BR120" s="25"/>
      <c r="BS120" s="25"/>
      <c r="BT120" s="25"/>
      <c r="BU120" s="25"/>
      <c r="BV120" s="25"/>
      <c r="BW120" s="25"/>
      <c r="BX120" s="25"/>
      <c r="BY120" s="25"/>
      <c r="BZ120" s="25"/>
      <c r="CA120" s="25"/>
      <c r="CB120" s="25"/>
      <c r="CC120" s="25"/>
      <c r="CD120" s="25"/>
      <c r="CE120" s="25"/>
      <c r="CF120" s="25"/>
      <c r="CG120" s="25"/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25"/>
      <c r="CT120" s="25"/>
      <c r="CU120" s="25"/>
      <c r="CV120" s="25"/>
      <c r="CW120" s="25"/>
      <c r="CX120" s="25"/>
      <c r="CY120" s="25"/>
      <c r="CZ120" s="25"/>
      <c r="DA120" s="25"/>
      <c r="DB120" s="25"/>
      <c r="DC120" s="25"/>
      <c r="DD120" s="25"/>
      <c r="DE120" s="25"/>
      <c r="DF120" s="25"/>
      <c r="DG120" s="25"/>
      <c r="DH120" s="25"/>
      <c r="DI120" s="25"/>
      <c r="DJ120" s="25"/>
      <c r="DK120" s="25"/>
      <c r="DL120" s="25"/>
      <c r="DM120" s="25"/>
      <c r="DN120" s="25"/>
      <c r="DO120" s="25"/>
      <c r="DP120" s="25"/>
      <c r="DQ120" s="25"/>
    </row>
    <row r="121" spans="1:121" s="125" customFormat="1" ht="24.95" customHeight="1" x14ac:dyDescent="0.25">
      <c r="A121" s="436">
        <v>230</v>
      </c>
      <c r="B121" s="666">
        <v>2212</v>
      </c>
      <c r="C121" s="667">
        <v>6121</v>
      </c>
      <c r="D121" s="1055">
        <v>3235</v>
      </c>
      <c r="E121" s="1054" t="s">
        <v>470</v>
      </c>
      <c r="F121" s="1065" t="s">
        <v>469</v>
      </c>
      <c r="G121" s="111">
        <v>400</v>
      </c>
      <c r="H121" s="111">
        <v>2018</v>
      </c>
      <c r="I121" s="112">
        <v>2021</v>
      </c>
      <c r="J121" s="462">
        <f t="shared" si="28"/>
        <v>154620</v>
      </c>
      <c r="K121" s="463">
        <v>0</v>
      </c>
      <c r="L121" s="464">
        <v>500</v>
      </c>
      <c r="M121" s="465">
        <f t="shared" si="29"/>
        <v>2120</v>
      </c>
      <c r="N121" s="466">
        <f>2120</f>
        <v>2120</v>
      </c>
      <c r="O121" s="475">
        <v>0</v>
      </c>
      <c r="P121" s="467">
        <v>0</v>
      </c>
      <c r="Q121" s="464">
        <v>0</v>
      </c>
      <c r="R121" s="469">
        <v>76000</v>
      </c>
      <c r="S121" s="467">
        <v>0</v>
      </c>
      <c r="T121" s="464">
        <v>0</v>
      </c>
      <c r="U121" s="469">
        <v>76000</v>
      </c>
      <c r="V121" s="467">
        <v>0</v>
      </c>
      <c r="W121" s="464">
        <v>0</v>
      </c>
      <c r="X121" s="469">
        <v>0</v>
      </c>
      <c r="Y121" s="467">
        <v>0</v>
      </c>
      <c r="Z121" s="468">
        <v>0</v>
      </c>
      <c r="AA121" s="478">
        <v>0</v>
      </c>
      <c r="AB121" s="30"/>
      <c r="AC121" s="30"/>
      <c r="AD121" s="30"/>
      <c r="AE121" s="30"/>
      <c r="AF121" s="25"/>
      <c r="AG121" s="25"/>
      <c r="AH121" s="25"/>
      <c r="AI121" s="25"/>
      <c r="AJ121" s="25"/>
      <c r="AK121" s="25"/>
      <c r="AL121" s="25"/>
      <c r="AM121" s="25"/>
      <c r="AN121" s="25"/>
      <c r="AO121" s="25"/>
      <c r="AP121" s="25"/>
      <c r="AQ121" s="25"/>
      <c r="AR121" s="25"/>
      <c r="AS121" s="25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  <c r="BF121" s="25"/>
      <c r="BG121" s="25"/>
      <c r="BH121" s="25"/>
      <c r="BI121" s="25"/>
      <c r="BJ121" s="25"/>
      <c r="BK121" s="25"/>
      <c r="BL121" s="25"/>
      <c r="BM121" s="25"/>
      <c r="BN121" s="25"/>
      <c r="BO121" s="25"/>
      <c r="BP121" s="25"/>
      <c r="BQ121" s="25"/>
      <c r="BR121" s="25"/>
      <c r="BS121" s="25"/>
      <c r="BT121" s="25"/>
      <c r="BU121" s="25"/>
      <c r="BV121" s="25"/>
      <c r="BW121" s="25"/>
      <c r="BX121" s="25"/>
      <c r="BY121" s="25"/>
      <c r="BZ121" s="25"/>
      <c r="CA121" s="25"/>
      <c r="CB121" s="25"/>
      <c r="CC121" s="25"/>
      <c r="CD121" s="25"/>
      <c r="CE121" s="25"/>
      <c r="CF121" s="25"/>
      <c r="CG121" s="25"/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25"/>
      <c r="CT121" s="25"/>
      <c r="CU121" s="25"/>
      <c r="CV121" s="25"/>
      <c r="CW121" s="25"/>
      <c r="CX121" s="25"/>
      <c r="CY121" s="25"/>
      <c r="CZ121" s="25"/>
      <c r="DA121" s="25"/>
      <c r="DB121" s="25"/>
      <c r="DC121" s="25"/>
      <c r="DD121" s="25"/>
      <c r="DE121" s="25"/>
      <c r="DF121" s="25"/>
      <c r="DG121" s="25"/>
      <c r="DH121" s="25"/>
      <c r="DI121" s="25"/>
      <c r="DJ121" s="25"/>
      <c r="DK121" s="25"/>
      <c r="DL121" s="25"/>
      <c r="DM121" s="25"/>
      <c r="DN121" s="25"/>
      <c r="DO121" s="25"/>
      <c r="DP121" s="25"/>
      <c r="DQ121" s="25"/>
    </row>
    <row r="122" spans="1:121" s="125" customFormat="1" ht="24.95" customHeight="1" x14ac:dyDescent="0.25">
      <c r="A122" s="436">
        <v>230</v>
      </c>
      <c r="B122" s="666">
        <v>2212</v>
      </c>
      <c r="C122" s="667">
        <v>6121</v>
      </c>
      <c r="D122" s="1055">
        <v>3238</v>
      </c>
      <c r="E122" s="1054" t="s">
        <v>468</v>
      </c>
      <c r="F122" s="1012" t="s">
        <v>467</v>
      </c>
      <c r="G122" s="111">
        <v>400</v>
      </c>
      <c r="H122" s="111">
        <v>2017</v>
      </c>
      <c r="I122" s="112">
        <v>2020</v>
      </c>
      <c r="J122" s="462">
        <f t="shared" si="28"/>
        <v>14140</v>
      </c>
      <c r="K122" s="463">
        <v>0</v>
      </c>
      <c r="L122" s="464">
        <v>409</v>
      </c>
      <c r="M122" s="465">
        <f t="shared" si="29"/>
        <v>1731</v>
      </c>
      <c r="N122" s="466">
        <v>731</v>
      </c>
      <c r="O122" s="475">
        <v>1000</v>
      </c>
      <c r="P122" s="467">
        <v>0</v>
      </c>
      <c r="Q122" s="464">
        <v>0</v>
      </c>
      <c r="R122" s="469">
        <v>12000</v>
      </c>
      <c r="S122" s="467">
        <v>0</v>
      </c>
      <c r="T122" s="464">
        <v>0</v>
      </c>
      <c r="U122" s="469">
        <v>0</v>
      </c>
      <c r="V122" s="467">
        <v>0</v>
      </c>
      <c r="W122" s="464">
        <v>0</v>
      </c>
      <c r="X122" s="469">
        <v>0</v>
      </c>
      <c r="Y122" s="467">
        <v>0</v>
      </c>
      <c r="Z122" s="468">
        <v>0</v>
      </c>
      <c r="AA122" s="478">
        <v>0</v>
      </c>
      <c r="AB122" s="30"/>
      <c r="AC122" s="30"/>
      <c r="AD122" s="30"/>
      <c r="AE122" s="30"/>
      <c r="AF122" s="25"/>
      <c r="AG122" s="25"/>
      <c r="AH122" s="25"/>
      <c r="AI122" s="25"/>
      <c r="AJ122" s="25"/>
      <c r="AK122" s="25"/>
      <c r="AL122" s="25"/>
      <c r="AM122" s="25"/>
      <c r="AN122" s="25"/>
      <c r="AO122" s="25"/>
      <c r="AP122" s="25"/>
      <c r="AQ122" s="25"/>
      <c r="AR122" s="25"/>
      <c r="AS122" s="25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  <c r="BF122" s="25"/>
      <c r="BG122" s="25"/>
      <c r="BH122" s="25"/>
      <c r="BI122" s="25"/>
      <c r="BJ122" s="25"/>
      <c r="BK122" s="25"/>
      <c r="BL122" s="25"/>
      <c r="BM122" s="25"/>
      <c r="BN122" s="25"/>
      <c r="BO122" s="25"/>
      <c r="BP122" s="25"/>
      <c r="BQ122" s="25"/>
      <c r="BR122" s="25"/>
      <c r="BS122" s="25"/>
      <c r="BT122" s="25"/>
      <c r="BU122" s="25"/>
      <c r="BV122" s="25"/>
      <c r="BW122" s="25"/>
      <c r="BX122" s="25"/>
      <c r="BY122" s="25"/>
      <c r="BZ122" s="25"/>
      <c r="CA122" s="25"/>
      <c r="CB122" s="25"/>
      <c r="CC122" s="25"/>
      <c r="CD122" s="25"/>
      <c r="CE122" s="25"/>
      <c r="CF122" s="25"/>
      <c r="CG122" s="25"/>
      <c r="CH122" s="25"/>
      <c r="CI122" s="25"/>
      <c r="CJ122" s="25"/>
      <c r="CK122" s="25"/>
      <c r="CL122" s="25"/>
      <c r="CM122" s="25"/>
      <c r="CN122" s="25"/>
      <c r="CO122" s="25"/>
      <c r="CP122" s="25"/>
      <c r="CQ122" s="25"/>
      <c r="CR122" s="25"/>
      <c r="CS122" s="25"/>
      <c r="CT122" s="25"/>
      <c r="CU122" s="25"/>
      <c r="CV122" s="25"/>
      <c r="CW122" s="25"/>
      <c r="CX122" s="25"/>
      <c r="CY122" s="25"/>
      <c r="CZ122" s="25"/>
      <c r="DA122" s="25"/>
      <c r="DB122" s="25"/>
      <c r="DC122" s="25"/>
      <c r="DD122" s="25"/>
      <c r="DE122" s="25"/>
      <c r="DF122" s="25"/>
      <c r="DG122" s="25"/>
      <c r="DH122" s="25"/>
      <c r="DI122" s="25"/>
      <c r="DJ122" s="25"/>
      <c r="DK122" s="25"/>
      <c r="DL122" s="25"/>
      <c r="DM122" s="25"/>
      <c r="DN122" s="25"/>
      <c r="DO122" s="25"/>
      <c r="DP122" s="25"/>
      <c r="DQ122" s="25"/>
    </row>
    <row r="123" spans="1:121" s="125" customFormat="1" ht="24.95" customHeight="1" x14ac:dyDescent="0.25">
      <c r="A123" s="436">
        <v>230</v>
      </c>
      <c r="B123" s="666">
        <v>2212</v>
      </c>
      <c r="C123" s="667">
        <v>6121</v>
      </c>
      <c r="D123" s="1055">
        <v>3242</v>
      </c>
      <c r="E123" s="1054" t="s">
        <v>466</v>
      </c>
      <c r="F123" s="110" t="s">
        <v>159</v>
      </c>
      <c r="G123" s="111">
        <v>400</v>
      </c>
      <c r="H123" s="111">
        <v>2019</v>
      </c>
      <c r="I123" s="112">
        <v>2022</v>
      </c>
      <c r="J123" s="462">
        <f t="shared" si="28"/>
        <v>57000</v>
      </c>
      <c r="K123" s="463">
        <v>0</v>
      </c>
      <c r="L123" s="464">
        <f>29+84</f>
        <v>113</v>
      </c>
      <c r="M123" s="465">
        <f t="shared" si="29"/>
        <v>1287</v>
      </c>
      <c r="N123" s="466">
        <v>187</v>
      </c>
      <c r="O123" s="475">
        <v>1100</v>
      </c>
      <c r="P123" s="467">
        <v>0</v>
      </c>
      <c r="Q123" s="464">
        <v>0</v>
      </c>
      <c r="R123" s="469">
        <v>1000</v>
      </c>
      <c r="S123" s="467">
        <v>0</v>
      </c>
      <c r="T123" s="464">
        <v>0</v>
      </c>
      <c r="U123" s="469">
        <v>35000</v>
      </c>
      <c r="V123" s="467">
        <v>0</v>
      </c>
      <c r="W123" s="464">
        <v>0</v>
      </c>
      <c r="X123" s="469">
        <v>19600</v>
      </c>
      <c r="Y123" s="467">
        <v>0</v>
      </c>
      <c r="Z123" s="468">
        <v>0</v>
      </c>
      <c r="AA123" s="478">
        <v>0</v>
      </c>
      <c r="AB123" s="30"/>
      <c r="AC123" s="30"/>
      <c r="AD123" s="30"/>
      <c r="AE123" s="30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  <c r="BF123" s="25"/>
      <c r="BG123" s="25"/>
      <c r="BH123" s="25"/>
      <c r="BI123" s="25"/>
      <c r="BJ123" s="25"/>
      <c r="BK123" s="25"/>
      <c r="BL123" s="25"/>
      <c r="BM123" s="25"/>
      <c r="BN123" s="25"/>
      <c r="BO123" s="25"/>
      <c r="BP123" s="25"/>
      <c r="BQ123" s="25"/>
      <c r="BR123" s="25"/>
      <c r="BS123" s="25"/>
      <c r="BT123" s="25"/>
      <c r="BU123" s="25"/>
      <c r="BV123" s="25"/>
      <c r="BW123" s="25"/>
      <c r="BX123" s="25"/>
      <c r="BY123" s="25"/>
      <c r="BZ123" s="25"/>
      <c r="CA123" s="25"/>
      <c r="CB123" s="25"/>
      <c r="CC123" s="25"/>
      <c r="CD123" s="25"/>
      <c r="CE123" s="25"/>
      <c r="CF123" s="25"/>
      <c r="CG123" s="25"/>
      <c r="CH123" s="25"/>
      <c r="CI123" s="25"/>
      <c r="CJ123" s="25"/>
      <c r="CK123" s="25"/>
      <c r="CL123" s="25"/>
      <c r="CM123" s="25"/>
      <c r="CN123" s="25"/>
      <c r="CO123" s="25"/>
      <c r="CP123" s="25"/>
      <c r="CQ123" s="25"/>
      <c r="CR123" s="25"/>
      <c r="CS123" s="25"/>
      <c r="CT123" s="25"/>
      <c r="CU123" s="25"/>
      <c r="CV123" s="25"/>
      <c r="CW123" s="25"/>
      <c r="CX123" s="25"/>
      <c r="CY123" s="25"/>
      <c r="CZ123" s="25"/>
      <c r="DA123" s="25"/>
      <c r="DB123" s="25"/>
      <c r="DC123" s="25"/>
      <c r="DD123" s="25"/>
      <c r="DE123" s="25"/>
      <c r="DF123" s="25"/>
      <c r="DG123" s="25"/>
      <c r="DH123" s="25"/>
      <c r="DI123" s="25"/>
      <c r="DJ123" s="25"/>
      <c r="DK123" s="25"/>
      <c r="DL123" s="25"/>
      <c r="DM123" s="25"/>
      <c r="DN123" s="25"/>
      <c r="DO123" s="25"/>
      <c r="DP123" s="25"/>
      <c r="DQ123" s="25"/>
    </row>
    <row r="124" spans="1:121" s="125" customFormat="1" ht="24.95" customHeight="1" x14ac:dyDescent="0.25">
      <c r="A124" s="436">
        <v>230</v>
      </c>
      <c r="B124" s="1064">
        <v>2212</v>
      </c>
      <c r="C124" s="1063">
        <v>6121</v>
      </c>
      <c r="D124" s="1055">
        <v>3248</v>
      </c>
      <c r="E124" s="1054" t="s">
        <v>465</v>
      </c>
      <c r="F124" s="1008" t="s">
        <v>127</v>
      </c>
      <c r="G124" s="111">
        <v>400</v>
      </c>
      <c r="H124" s="111">
        <v>2018</v>
      </c>
      <c r="I124" s="112">
        <v>2022</v>
      </c>
      <c r="J124" s="462">
        <f t="shared" si="28"/>
        <v>81049</v>
      </c>
      <c r="K124" s="463">
        <v>0</v>
      </c>
      <c r="L124" s="464">
        <v>83</v>
      </c>
      <c r="M124" s="465">
        <f t="shared" si="29"/>
        <v>966</v>
      </c>
      <c r="N124" s="466">
        <v>66</v>
      </c>
      <c r="O124" s="475">
        <v>900</v>
      </c>
      <c r="P124" s="467">
        <v>0</v>
      </c>
      <c r="Q124" s="464">
        <v>0</v>
      </c>
      <c r="R124" s="469">
        <v>0</v>
      </c>
      <c r="S124" s="467">
        <v>0</v>
      </c>
      <c r="T124" s="464">
        <v>0</v>
      </c>
      <c r="U124" s="469">
        <v>0</v>
      </c>
      <c r="V124" s="467">
        <v>0</v>
      </c>
      <c r="W124" s="464">
        <v>0</v>
      </c>
      <c r="X124" s="469">
        <v>80000</v>
      </c>
      <c r="Y124" s="467">
        <v>0</v>
      </c>
      <c r="Z124" s="468">
        <v>0</v>
      </c>
      <c r="AA124" s="478">
        <v>0</v>
      </c>
      <c r="AB124" s="30"/>
      <c r="AC124" s="30"/>
      <c r="AD124" s="30"/>
      <c r="AE124" s="30"/>
      <c r="AF124" s="25"/>
      <c r="AG124" s="25"/>
      <c r="AH124" s="25"/>
      <c r="AI124" s="25"/>
      <c r="AJ124" s="25"/>
      <c r="AK124" s="25"/>
      <c r="AL124" s="25"/>
      <c r="AM124" s="25"/>
      <c r="AN124" s="25"/>
      <c r="AO124" s="25"/>
      <c r="AP124" s="25"/>
      <c r="AQ124" s="25"/>
      <c r="AR124" s="25"/>
      <c r="AS124" s="25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  <c r="BF124" s="25"/>
      <c r="BG124" s="25"/>
      <c r="BH124" s="25"/>
      <c r="BI124" s="25"/>
      <c r="BJ124" s="25"/>
      <c r="BK124" s="25"/>
      <c r="BL124" s="25"/>
      <c r="BM124" s="25"/>
      <c r="BN124" s="25"/>
      <c r="BO124" s="25"/>
      <c r="BP124" s="25"/>
      <c r="BQ124" s="25"/>
      <c r="BR124" s="25"/>
      <c r="BS124" s="25"/>
      <c r="BT124" s="25"/>
      <c r="BU124" s="25"/>
      <c r="BV124" s="25"/>
      <c r="BW124" s="25"/>
      <c r="BX124" s="25"/>
      <c r="BY124" s="25"/>
      <c r="BZ124" s="25"/>
      <c r="CA124" s="25"/>
      <c r="CB124" s="25"/>
      <c r="CC124" s="25"/>
      <c r="CD124" s="25"/>
      <c r="CE124" s="25"/>
      <c r="CF124" s="25"/>
      <c r="CG124" s="25"/>
      <c r="CH124" s="25"/>
      <c r="CI124" s="25"/>
      <c r="CJ124" s="25"/>
      <c r="CK124" s="25"/>
      <c r="CL124" s="25"/>
      <c r="CM124" s="25"/>
      <c r="CN124" s="25"/>
      <c r="CO124" s="25"/>
      <c r="CP124" s="25"/>
      <c r="CQ124" s="25"/>
      <c r="CR124" s="25"/>
      <c r="CS124" s="25"/>
      <c r="CT124" s="25"/>
      <c r="CU124" s="25"/>
      <c r="CV124" s="25"/>
      <c r="CW124" s="25"/>
      <c r="CX124" s="25"/>
      <c r="CY124" s="25"/>
      <c r="CZ124" s="25"/>
      <c r="DA124" s="25"/>
      <c r="DB124" s="25"/>
      <c r="DC124" s="25"/>
      <c r="DD124" s="25"/>
      <c r="DE124" s="25"/>
      <c r="DF124" s="25"/>
      <c r="DG124" s="25"/>
      <c r="DH124" s="25"/>
      <c r="DI124" s="25"/>
      <c r="DJ124" s="25"/>
      <c r="DK124" s="25"/>
      <c r="DL124" s="25"/>
      <c r="DM124" s="25"/>
      <c r="DN124" s="25"/>
      <c r="DO124" s="25"/>
      <c r="DP124" s="25"/>
      <c r="DQ124" s="25"/>
    </row>
    <row r="125" spans="1:121" s="542" customFormat="1" ht="24.95" customHeight="1" x14ac:dyDescent="0.25">
      <c r="A125" s="436">
        <v>230</v>
      </c>
      <c r="B125" s="907">
        <v>2212</v>
      </c>
      <c r="C125" s="906">
        <v>6121</v>
      </c>
      <c r="D125" s="1231">
        <v>3256</v>
      </c>
      <c r="E125" s="897" t="s">
        <v>464</v>
      </c>
      <c r="F125" s="110" t="s">
        <v>117</v>
      </c>
      <c r="G125" s="111">
        <v>400</v>
      </c>
      <c r="H125" s="111">
        <v>2018</v>
      </c>
      <c r="I125" s="112">
        <v>2019</v>
      </c>
      <c r="J125" s="462">
        <f t="shared" si="28"/>
        <v>1200</v>
      </c>
      <c r="K125" s="463">
        <v>0</v>
      </c>
      <c r="L125" s="464">
        <v>0</v>
      </c>
      <c r="M125" s="465">
        <f t="shared" si="29"/>
        <v>0</v>
      </c>
      <c r="N125" s="466">
        <v>0</v>
      </c>
      <c r="O125" s="475">
        <f>200-200</f>
        <v>0</v>
      </c>
      <c r="P125" s="467">
        <v>0</v>
      </c>
      <c r="Q125" s="464">
        <v>0</v>
      </c>
      <c r="R125" s="469">
        <f>1000+200</f>
        <v>1200</v>
      </c>
      <c r="S125" s="467">
        <v>0</v>
      </c>
      <c r="T125" s="464">
        <v>0</v>
      </c>
      <c r="U125" s="469">
        <v>0</v>
      </c>
      <c r="V125" s="467">
        <v>0</v>
      </c>
      <c r="W125" s="464">
        <v>0</v>
      </c>
      <c r="X125" s="469">
        <v>0</v>
      </c>
      <c r="Y125" s="467">
        <v>0</v>
      </c>
      <c r="Z125" s="468">
        <v>0</v>
      </c>
      <c r="AA125" s="478">
        <v>0</v>
      </c>
      <c r="AB125" s="30"/>
      <c r="AC125" s="30"/>
      <c r="AD125" s="30"/>
      <c r="AE125" s="30"/>
      <c r="AF125" s="25"/>
      <c r="AG125" s="25"/>
      <c r="AH125" s="25"/>
      <c r="AI125" s="25"/>
      <c r="AJ125" s="25"/>
      <c r="AK125" s="25"/>
      <c r="AL125" s="25"/>
      <c r="AM125" s="25"/>
      <c r="AN125" s="25"/>
      <c r="AO125" s="25"/>
      <c r="AP125" s="25"/>
      <c r="AQ125" s="25"/>
      <c r="AR125" s="1062"/>
      <c r="AS125" s="1062"/>
      <c r="AT125" s="1062"/>
      <c r="AU125" s="1062"/>
      <c r="AV125" s="1062"/>
      <c r="AW125" s="1062"/>
      <c r="AX125" s="1062"/>
      <c r="AY125" s="1062"/>
      <c r="AZ125" s="1062"/>
      <c r="BA125" s="1062"/>
      <c r="BB125" s="1062"/>
      <c r="BC125" s="1062"/>
      <c r="BD125" s="1062"/>
      <c r="BE125" s="1062"/>
      <c r="BF125" s="1062"/>
      <c r="BG125" s="1062"/>
      <c r="BH125" s="1062"/>
      <c r="BI125" s="1062"/>
      <c r="BJ125" s="1062"/>
      <c r="BK125" s="1062"/>
      <c r="BL125" s="1062"/>
      <c r="BM125" s="1062"/>
      <c r="BN125" s="1062"/>
      <c r="BO125" s="1062"/>
      <c r="BP125" s="1062"/>
      <c r="BQ125" s="1062"/>
      <c r="BR125" s="1062"/>
      <c r="BS125" s="1062"/>
      <c r="BT125" s="1062"/>
      <c r="BU125" s="1062"/>
      <c r="BV125" s="1062"/>
      <c r="BW125" s="1062"/>
      <c r="BX125" s="1062"/>
      <c r="BY125" s="1062"/>
      <c r="BZ125" s="1062"/>
      <c r="CA125" s="1062"/>
      <c r="CB125" s="1062"/>
      <c r="CC125" s="1062"/>
      <c r="CD125" s="1062"/>
      <c r="CE125" s="1062"/>
      <c r="CF125" s="1062"/>
      <c r="CG125" s="1062"/>
      <c r="CH125" s="1062"/>
      <c r="CI125" s="1062"/>
      <c r="CJ125" s="1062"/>
      <c r="CK125" s="1062"/>
      <c r="CL125" s="1062"/>
      <c r="CM125" s="1062"/>
      <c r="CN125" s="1062"/>
      <c r="CO125" s="1062"/>
      <c r="CP125" s="1062"/>
      <c r="CQ125" s="1062"/>
      <c r="CR125" s="1062"/>
      <c r="CS125" s="1062"/>
      <c r="CT125" s="1062"/>
      <c r="CU125" s="1062"/>
      <c r="CV125" s="1062"/>
      <c r="CW125" s="1062"/>
      <c r="CX125" s="1062"/>
      <c r="CY125" s="1062"/>
      <c r="CZ125" s="1062"/>
      <c r="DA125" s="1062"/>
      <c r="DB125" s="1062"/>
      <c r="DC125" s="1062"/>
      <c r="DD125" s="1062"/>
      <c r="DE125" s="1062"/>
      <c r="DF125" s="1062"/>
      <c r="DG125" s="1062"/>
      <c r="DH125" s="1062"/>
      <c r="DI125" s="1062"/>
      <c r="DJ125" s="1062"/>
      <c r="DK125" s="1062"/>
      <c r="DL125" s="1062"/>
      <c r="DM125" s="1062"/>
      <c r="DN125" s="1062"/>
      <c r="DO125" s="1062"/>
      <c r="DP125" s="1062"/>
      <c r="DQ125" s="1062"/>
    </row>
    <row r="126" spans="1:121" s="25" customFormat="1" ht="24.95" customHeight="1" x14ac:dyDescent="0.25">
      <c r="A126" s="436">
        <v>230</v>
      </c>
      <c r="B126" s="1057">
        <v>2212</v>
      </c>
      <c r="C126" s="1056">
        <v>6121</v>
      </c>
      <c r="D126" s="1061">
        <v>7332</v>
      </c>
      <c r="E126" s="911" t="s">
        <v>140</v>
      </c>
      <c r="F126" s="1060" t="s">
        <v>197</v>
      </c>
      <c r="G126" s="1059">
        <v>400</v>
      </c>
      <c r="H126" s="1059">
        <v>2017</v>
      </c>
      <c r="I126" s="1058">
        <v>2021</v>
      </c>
      <c r="J126" s="135">
        <f t="shared" si="28"/>
        <v>105883</v>
      </c>
      <c r="K126" s="136">
        <v>981</v>
      </c>
      <c r="L126" s="143">
        <v>31</v>
      </c>
      <c r="M126" s="138">
        <f t="shared" si="29"/>
        <v>44871</v>
      </c>
      <c r="N126" s="139">
        <v>14590</v>
      </c>
      <c r="O126" s="140">
        <f>50281-20000</f>
        <v>30281</v>
      </c>
      <c r="P126" s="141">
        <v>0</v>
      </c>
      <c r="Q126" s="143">
        <v>0</v>
      </c>
      <c r="R126" s="142">
        <f>30000+10000+20000</f>
        <v>60000</v>
      </c>
      <c r="S126" s="141">
        <v>0</v>
      </c>
      <c r="T126" s="143">
        <v>0</v>
      </c>
      <c r="U126" s="142">
        <v>0</v>
      </c>
      <c r="V126" s="141">
        <v>0</v>
      </c>
      <c r="W126" s="143">
        <v>0</v>
      </c>
      <c r="X126" s="142">
        <v>0</v>
      </c>
      <c r="Y126" s="141">
        <v>0</v>
      </c>
      <c r="Z126" s="137">
        <v>0</v>
      </c>
      <c r="AA126" s="135">
        <v>0</v>
      </c>
    </row>
    <row r="127" spans="1:121" s="23" customFormat="1" ht="24.95" customHeight="1" x14ac:dyDescent="0.25">
      <c r="A127" s="436">
        <v>230</v>
      </c>
      <c r="B127" s="1057">
        <v>2212</v>
      </c>
      <c r="C127" s="1056">
        <v>6121</v>
      </c>
      <c r="D127" s="1055">
        <v>7352</v>
      </c>
      <c r="E127" s="1054" t="s">
        <v>148</v>
      </c>
      <c r="F127" s="1053" t="s">
        <v>127</v>
      </c>
      <c r="G127" s="1052">
        <v>400</v>
      </c>
      <c r="H127" s="1052">
        <v>2010</v>
      </c>
      <c r="I127" s="1051">
        <v>2020</v>
      </c>
      <c r="J127" s="613">
        <f t="shared" si="28"/>
        <v>3950</v>
      </c>
      <c r="K127" s="614">
        <v>0</v>
      </c>
      <c r="L127" s="123">
        <v>0</v>
      </c>
      <c r="M127" s="615">
        <f t="shared" si="29"/>
        <v>2450</v>
      </c>
      <c r="N127" s="616">
        <v>1450</v>
      </c>
      <c r="O127" s="118">
        <v>1000</v>
      </c>
      <c r="P127" s="638">
        <v>0</v>
      </c>
      <c r="Q127" s="1050">
        <v>0</v>
      </c>
      <c r="R127" s="144">
        <v>1500</v>
      </c>
      <c r="S127" s="638">
        <v>0</v>
      </c>
      <c r="T127" s="1050">
        <v>0</v>
      </c>
      <c r="U127" s="144">
        <v>0</v>
      </c>
      <c r="V127" s="638">
        <v>0</v>
      </c>
      <c r="W127" s="1050">
        <v>0</v>
      </c>
      <c r="X127" s="144">
        <v>0</v>
      </c>
      <c r="Y127" s="638">
        <v>0</v>
      </c>
      <c r="Z127" s="1199">
        <v>0</v>
      </c>
      <c r="AA127" s="632">
        <v>0</v>
      </c>
      <c r="AB127" s="25"/>
      <c r="AC127" s="25"/>
      <c r="AD127" s="25"/>
      <c r="AE127" s="25" t="s">
        <v>463</v>
      </c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</row>
    <row r="128" spans="1:121" s="23" customFormat="1" ht="24.95" customHeight="1" x14ac:dyDescent="0.25">
      <c r="A128" s="436">
        <v>230</v>
      </c>
      <c r="B128" s="1049">
        <v>2212</v>
      </c>
      <c r="C128" s="1042">
        <v>6121</v>
      </c>
      <c r="D128" s="1037">
        <v>7356</v>
      </c>
      <c r="E128" s="1048" t="s">
        <v>204</v>
      </c>
      <c r="F128" s="1047" t="s">
        <v>117</v>
      </c>
      <c r="G128" s="1046">
        <v>400</v>
      </c>
      <c r="H128" s="1046">
        <v>2018</v>
      </c>
      <c r="I128" s="1045">
        <v>2019</v>
      </c>
      <c r="J128" s="613">
        <f t="shared" si="28"/>
        <v>1000</v>
      </c>
      <c r="K128" s="614">
        <v>0</v>
      </c>
      <c r="L128" s="120">
        <v>0</v>
      </c>
      <c r="M128" s="615">
        <f t="shared" si="29"/>
        <v>1000</v>
      </c>
      <c r="N128" s="1044">
        <v>1000</v>
      </c>
      <c r="O128" s="118">
        <v>0</v>
      </c>
      <c r="P128" s="122">
        <v>0</v>
      </c>
      <c r="Q128" s="120">
        <v>0</v>
      </c>
      <c r="R128" s="121">
        <v>0</v>
      </c>
      <c r="S128" s="122">
        <v>0</v>
      </c>
      <c r="T128" s="123">
        <v>0</v>
      </c>
      <c r="U128" s="124">
        <v>0</v>
      </c>
      <c r="V128" s="122">
        <v>0</v>
      </c>
      <c r="W128" s="120">
        <v>0</v>
      </c>
      <c r="X128" s="121">
        <v>0</v>
      </c>
      <c r="Y128" s="122">
        <v>0</v>
      </c>
      <c r="Z128" s="120">
        <v>0</v>
      </c>
      <c r="AA128" s="613">
        <v>0</v>
      </c>
      <c r="AB128" s="25"/>
      <c r="AC128" s="25"/>
      <c r="AD128" s="25"/>
      <c r="AE128" s="25"/>
      <c r="AF128" s="25"/>
      <c r="AG128" s="25"/>
      <c r="AH128" s="25"/>
      <c r="AI128" s="25"/>
      <c r="AJ128" s="25"/>
      <c r="AK128" s="25"/>
      <c r="AL128" s="25"/>
      <c r="AM128" s="25"/>
      <c r="AN128" s="25"/>
      <c r="AO128" s="25"/>
      <c r="AP128" s="25"/>
      <c r="AQ128" s="25"/>
      <c r="AR128" s="25"/>
      <c r="AS128" s="25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  <c r="BF128" s="25"/>
      <c r="BG128" s="25"/>
      <c r="BH128" s="25"/>
      <c r="BI128" s="25"/>
      <c r="BJ128" s="25"/>
      <c r="BK128" s="25"/>
      <c r="BL128" s="25"/>
      <c r="BM128" s="25"/>
      <c r="BN128" s="25"/>
      <c r="BO128" s="25"/>
      <c r="BP128" s="25"/>
      <c r="BQ128" s="25"/>
      <c r="BR128" s="25"/>
      <c r="BS128" s="25"/>
      <c r="BT128" s="25"/>
      <c r="BU128" s="25"/>
      <c r="BV128" s="25"/>
      <c r="BW128" s="25"/>
      <c r="BX128" s="25"/>
      <c r="BY128" s="25"/>
      <c r="BZ128" s="25"/>
      <c r="CA128" s="25"/>
      <c r="CB128" s="25"/>
      <c r="CC128" s="25"/>
      <c r="CD128" s="25"/>
      <c r="CE128" s="25"/>
      <c r="CF128" s="25"/>
      <c r="CG128" s="25"/>
      <c r="CH128" s="25"/>
      <c r="CI128" s="25"/>
      <c r="CJ128" s="25"/>
      <c r="CK128" s="25"/>
      <c r="CL128" s="25"/>
      <c r="CM128" s="25"/>
      <c r="CN128" s="25"/>
      <c r="CO128" s="25"/>
      <c r="CP128" s="25"/>
      <c r="CQ128" s="25"/>
      <c r="CR128" s="25"/>
      <c r="CS128" s="25"/>
      <c r="CT128" s="25"/>
      <c r="CU128" s="25"/>
      <c r="CV128" s="25"/>
      <c r="CW128" s="25"/>
      <c r="CX128" s="25"/>
      <c r="CY128" s="25"/>
      <c r="CZ128" s="25"/>
      <c r="DA128" s="25"/>
      <c r="DB128" s="25"/>
      <c r="DC128" s="25"/>
      <c r="DD128" s="25"/>
      <c r="DE128" s="25"/>
      <c r="DF128" s="25"/>
      <c r="DG128" s="25"/>
      <c r="DH128" s="25"/>
      <c r="DI128" s="25"/>
      <c r="DJ128" s="25"/>
      <c r="DK128" s="25"/>
      <c r="DL128" s="25"/>
      <c r="DM128" s="25"/>
      <c r="DN128" s="25"/>
      <c r="DO128" s="25"/>
      <c r="DP128" s="25"/>
      <c r="DQ128" s="25"/>
    </row>
    <row r="129" spans="1:121" s="25" customFormat="1" ht="24.95" customHeight="1" x14ac:dyDescent="0.25">
      <c r="A129" s="436">
        <v>230</v>
      </c>
      <c r="B129" s="437">
        <v>2212</v>
      </c>
      <c r="C129" s="1043">
        <v>6121</v>
      </c>
      <c r="D129" s="1055">
        <v>3260</v>
      </c>
      <c r="E129" s="438" t="s">
        <v>462</v>
      </c>
      <c r="F129" s="110" t="s">
        <v>117</v>
      </c>
      <c r="G129" s="111">
        <v>400</v>
      </c>
      <c r="H129" s="111">
        <v>2018</v>
      </c>
      <c r="I129" s="112">
        <v>2019</v>
      </c>
      <c r="J129" s="462">
        <f t="shared" si="28"/>
        <v>35200</v>
      </c>
      <c r="K129" s="463">
        <v>0</v>
      </c>
      <c r="L129" s="464">
        <v>0</v>
      </c>
      <c r="M129" s="465">
        <f t="shared" si="29"/>
        <v>35200</v>
      </c>
      <c r="N129" s="466">
        <v>0</v>
      </c>
      <c r="O129" s="475">
        <v>35200</v>
      </c>
      <c r="P129" s="467">
        <v>0</v>
      </c>
      <c r="Q129" s="464">
        <v>0</v>
      </c>
      <c r="R129" s="469">
        <v>0</v>
      </c>
      <c r="S129" s="467">
        <v>0</v>
      </c>
      <c r="T129" s="464">
        <v>0</v>
      </c>
      <c r="U129" s="469">
        <v>0</v>
      </c>
      <c r="V129" s="467">
        <v>0</v>
      </c>
      <c r="W129" s="464">
        <v>0</v>
      </c>
      <c r="X129" s="469">
        <v>0</v>
      </c>
      <c r="Y129" s="467">
        <v>0</v>
      </c>
      <c r="Z129" s="468">
        <v>0</v>
      </c>
      <c r="AA129" s="478">
        <v>0</v>
      </c>
    </row>
    <row r="130" spans="1:121" s="23" customFormat="1" ht="24.95" customHeight="1" x14ac:dyDescent="0.25">
      <c r="A130" s="436">
        <v>230</v>
      </c>
      <c r="B130" s="1042">
        <v>2212</v>
      </c>
      <c r="C130" s="1041">
        <v>6121</v>
      </c>
      <c r="D130" s="1040">
        <v>3261</v>
      </c>
      <c r="E130" s="1218" t="s">
        <v>461</v>
      </c>
      <c r="F130" s="1036" t="s">
        <v>121</v>
      </c>
      <c r="G130" s="1035">
        <v>400</v>
      </c>
      <c r="H130" s="1035">
        <v>2018</v>
      </c>
      <c r="I130" s="1034">
        <v>2020</v>
      </c>
      <c r="J130" s="1033">
        <f t="shared" si="28"/>
        <v>10905</v>
      </c>
      <c r="K130" s="114">
        <v>0</v>
      </c>
      <c r="L130" s="115">
        <v>192</v>
      </c>
      <c r="M130" s="1032">
        <f t="shared" si="29"/>
        <v>500</v>
      </c>
      <c r="N130" s="117">
        <v>0</v>
      </c>
      <c r="O130" s="447">
        <f>2000-1500</f>
        <v>500</v>
      </c>
      <c r="P130" s="119">
        <v>0</v>
      </c>
      <c r="Q130" s="115">
        <v>0</v>
      </c>
      <c r="R130" s="470">
        <v>1532</v>
      </c>
      <c r="S130" s="119">
        <v>0</v>
      </c>
      <c r="T130" s="115">
        <v>0</v>
      </c>
      <c r="U130" s="470">
        <v>8681</v>
      </c>
      <c r="V130" s="119">
        <v>0</v>
      </c>
      <c r="W130" s="115">
        <v>0</v>
      </c>
      <c r="X130" s="470">
        <v>0</v>
      </c>
      <c r="Y130" s="119">
        <v>0</v>
      </c>
      <c r="Z130" s="1183">
        <v>0</v>
      </c>
      <c r="AA130" s="113">
        <v>0</v>
      </c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</row>
    <row r="131" spans="1:121" s="23" customFormat="1" ht="24.95" customHeight="1" x14ac:dyDescent="0.25">
      <c r="A131" s="436">
        <v>230</v>
      </c>
      <c r="B131" s="1039">
        <v>2212</v>
      </c>
      <c r="C131" s="1038">
        <v>6121</v>
      </c>
      <c r="D131" s="1037">
        <v>3262</v>
      </c>
      <c r="E131" s="1218" t="s">
        <v>460</v>
      </c>
      <c r="F131" s="1036" t="s">
        <v>127</v>
      </c>
      <c r="G131" s="1035">
        <v>400</v>
      </c>
      <c r="H131" s="1035">
        <v>2018</v>
      </c>
      <c r="I131" s="1034">
        <v>2020</v>
      </c>
      <c r="J131" s="1033">
        <f t="shared" si="28"/>
        <v>27261</v>
      </c>
      <c r="K131" s="114">
        <v>0</v>
      </c>
      <c r="L131" s="115">
        <v>175</v>
      </c>
      <c r="M131" s="1032">
        <f t="shared" si="29"/>
        <v>0</v>
      </c>
      <c r="N131" s="117">
        <v>0</v>
      </c>
      <c r="O131" s="447">
        <f>1000-1000</f>
        <v>0</v>
      </c>
      <c r="P131" s="119">
        <v>0</v>
      </c>
      <c r="Q131" s="115">
        <v>0</v>
      </c>
      <c r="R131" s="470">
        <v>4063</v>
      </c>
      <c r="S131" s="119">
        <v>0</v>
      </c>
      <c r="T131" s="115">
        <v>0</v>
      </c>
      <c r="U131" s="470">
        <v>23023</v>
      </c>
      <c r="V131" s="119">
        <v>0</v>
      </c>
      <c r="W131" s="115">
        <v>0</v>
      </c>
      <c r="X131" s="470">
        <v>0</v>
      </c>
      <c r="Y131" s="119">
        <v>0</v>
      </c>
      <c r="Z131" s="1183">
        <v>0</v>
      </c>
      <c r="AA131" s="113">
        <v>0</v>
      </c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</row>
    <row r="132" spans="1:121" s="31" customFormat="1" ht="24.95" customHeight="1" x14ac:dyDescent="0.25">
      <c r="A132" s="600">
        <v>230</v>
      </c>
      <c r="B132" s="907">
        <v>2219</v>
      </c>
      <c r="C132" s="906">
        <v>6121</v>
      </c>
      <c r="D132" s="1232">
        <v>3091</v>
      </c>
      <c r="E132" s="1219" t="s">
        <v>459</v>
      </c>
      <c r="F132" s="1031" t="s">
        <v>168</v>
      </c>
      <c r="G132" s="440">
        <v>400</v>
      </c>
      <c r="H132" s="440">
        <v>2010</v>
      </c>
      <c r="I132" s="766">
        <v>2021</v>
      </c>
      <c r="J132" s="442">
        <f t="shared" si="28"/>
        <v>49798</v>
      </c>
      <c r="K132" s="443">
        <v>2548</v>
      </c>
      <c r="L132" s="444">
        <v>94</v>
      </c>
      <c r="M132" s="940">
        <f t="shared" si="29"/>
        <v>1156</v>
      </c>
      <c r="N132" s="446">
        <v>1156</v>
      </c>
      <c r="O132" s="447">
        <v>0</v>
      </c>
      <c r="P132" s="448">
        <v>0</v>
      </c>
      <c r="Q132" s="444">
        <v>0</v>
      </c>
      <c r="R132" s="449">
        <v>30000</v>
      </c>
      <c r="S132" s="448">
        <v>0</v>
      </c>
      <c r="T132" s="444">
        <v>0</v>
      </c>
      <c r="U132" s="449">
        <v>16000</v>
      </c>
      <c r="V132" s="448">
        <v>0</v>
      </c>
      <c r="W132" s="444">
        <v>0</v>
      </c>
      <c r="X132" s="449">
        <v>0</v>
      </c>
      <c r="Y132" s="448">
        <v>0</v>
      </c>
      <c r="Z132" s="492">
        <v>0</v>
      </c>
      <c r="AA132" s="493">
        <v>0</v>
      </c>
      <c r="AB132" s="32"/>
      <c r="AC132" s="1023"/>
      <c r="AD132" s="32"/>
      <c r="AE132" s="32"/>
      <c r="AF132" s="32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</row>
    <row r="133" spans="1:121" s="23" customFormat="1" ht="24.95" customHeight="1" x14ac:dyDescent="0.25">
      <c r="A133" s="898">
        <v>230</v>
      </c>
      <c r="B133" s="935">
        <v>2219</v>
      </c>
      <c r="C133" s="934">
        <v>6121</v>
      </c>
      <c r="D133" s="1233">
        <v>3094</v>
      </c>
      <c r="E133" s="1026" t="s">
        <v>458</v>
      </c>
      <c r="F133" s="1029" t="s">
        <v>117</v>
      </c>
      <c r="G133" s="111">
        <v>400</v>
      </c>
      <c r="H133" s="111">
        <v>2011</v>
      </c>
      <c r="I133" s="557">
        <v>2018</v>
      </c>
      <c r="J133" s="462">
        <f t="shared" ref="J133:J164" si="30">K133+L133+M133+SUM(R133:AA133)</f>
        <v>17957</v>
      </c>
      <c r="K133" s="463">
        <v>4790</v>
      </c>
      <c r="L133" s="464">
        <v>12003</v>
      </c>
      <c r="M133" s="465">
        <f t="shared" ref="M133:M164" si="31">N133+O133+P133+Q133</f>
        <v>1164</v>
      </c>
      <c r="N133" s="466">
        <v>1164</v>
      </c>
      <c r="O133" s="475">
        <v>0</v>
      </c>
      <c r="P133" s="467">
        <v>0</v>
      </c>
      <c r="Q133" s="464">
        <v>0</v>
      </c>
      <c r="R133" s="469">
        <v>0</v>
      </c>
      <c r="S133" s="467">
        <v>0</v>
      </c>
      <c r="T133" s="464">
        <v>0</v>
      </c>
      <c r="U133" s="469">
        <v>0</v>
      </c>
      <c r="V133" s="467">
        <v>0</v>
      </c>
      <c r="W133" s="464">
        <v>0</v>
      </c>
      <c r="X133" s="469">
        <v>0</v>
      </c>
      <c r="Y133" s="467">
        <v>0</v>
      </c>
      <c r="Z133" s="468">
        <v>0</v>
      </c>
      <c r="AA133" s="478">
        <v>0</v>
      </c>
      <c r="AB133" s="32"/>
      <c r="AC133" s="1023"/>
      <c r="AD133" s="32"/>
      <c r="AE133" s="32"/>
      <c r="AF133" s="32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</row>
    <row r="134" spans="1:121" s="23" customFormat="1" ht="24.95" customHeight="1" x14ac:dyDescent="0.25">
      <c r="A134" s="898">
        <v>230</v>
      </c>
      <c r="B134" s="935">
        <v>2219</v>
      </c>
      <c r="C134" s="934">
        <v>6121</v>
      </c>
      <c r="D134" s="1055">
        <v>3097</v>
      </c>
      <c r="E134" s="1028" t="s">
        <v>457</v>
      </c>
      <c r="F134" s="1029" t="s">
        <v>117</v>
      </c>
      <c r="G134" s="111">
        <v>400</v>
      </c>
      <c r="H134" s="111">
        <v>2011</v>
      </c>
      <c r="I134" s="557">
        <v>2021</v>
      </c>
      <c r="J134" s="462">
        <f t="shared" si="30"/>
        <v>12505</v>
      </c>
      <c r="K134" s="463">
        <v>1671</v>
      </c>
      <c r="L134" s="464">
        <v>2</v>
      </c>
      <c r="M134" s="465">
        <f t="shared" si="31"/>
        <v>332</v>
      </c>
      <c r="N134" s="466">
        <v>332</v>
      </c>
      <c r="O134" s="475">
        <v>0</v>
      </c>
      <c r="P134" s="467">
        <v>0</v>
      </c>
      <c r="Q134" s="464">
        <v>0</v>
      </c>
      <c r="R134" s="469">
        <v>5000</v>
      </c>
      <c r="S134" s="467">
        <v>0</v>
      </c>
      <c r="T134" s="464">
        <v>0</v>
      </c>
      <c r="U134" s="469">
        <v>5500</v>
      </c>
      <c r="V134" s="467">
        <v>0</v>
      </c>
      <c r="W134" s="464">
        <v>0</v>
      </c>
      <c r="X134" s="469">
        <v>0</v>
      </c>
      <c r="Y134" s="467">
        <v>0</v>
      </c>
      <c r="Z134" s="468">
        <v>0</v>
      </c>
      <c r="AA134" s="478">
        <v>0</v>
      </c>
      <c r="AB134" s="32"/>
      <c r="AC134" s="1023"/>
      <c r="AD134" s="32"/>
      <c r="AE134" s="32"/>
      <c r="AF134" s="32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</row>
    <row r="135" spans="1:121" s="23" customFormat="1" ht="24.95" customHeight="1" x14ac:dyDescent="0.25">
      <c r="A135" s="898">
        <v>230</v>
      </c>
      <c r="B135" s="935">
        <v>2219</v>
      </c>
      <c r="C135" s="934">
        <v>6121</v>
      </c>
      <c r="D135" s="1233">
        <v>3102</v>
      </c>
      <c r="E135" s="1026" t="s">
        <v>456</v>
      </c>
      <c r="F135" s="1029" t="s">
        <v>176</v>
      </c>
      <c r="G135" s="111">
        <v>400</v>
      </c>
      <c r="H135" s="111">
        <v>2011</v>
      </c>
      <c r="I135" s="557">
        <v>2018</v>
      </c>
      <c r="J135" s="462">
        <f t="shared" si="30"/>
        <v>25578</v>
      </c>
      <c r="K135" s="463">
        <v>20381</v>
      </c>
      <c r="L135" s="464">
        <v>4884</v>
      </c>
      <c r="M135" s="465">
        <f t="shared" si="31"/>
        <v>313</v>
      </c>
      <c r="N135" s="466">
        <v>313</v>
      </c>
      <c r="O135" s="475">
        <v>0</v>
      </c>
      <c r="P135" s="467">
        <v>0</v>
      </c>
      <c r="Q135" s="464">
        <v>0</v>
      </c>
      <c r="R135" s="469">
        <v>0</v>
      </c>
      <c r="S135" s="467">
        <v>0</v>
      </c>
      <c r="T135" s="464">
        <v>0</v>
      </c>
      <c r="U135" s="469">
        <v>0</v>
      </c>
      <c r="V135" s="467">
        <v>0</v>
      </c>
      <c r="W135" s="464">
        <v>0</v>
      </c>
      <c r="X135" s="469">
        <v>0</v>
      </c>
      <c r="Y135" s="467">
        <v>0</v>
      </c>
      <c r="Z135" s="468">
        <v>0</v>
      </c>
      <c r="AA135" s="478">
        <v>0</v>
      </c>
      <c r="AB135" s="32"/>
      <c r="AC135" s="1023"/>
      <c r="AD135" s="32"/>
      <c r="AE135" s="32"/>
      <c r="AF135" s="32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</row>
    <row r="136" spans="1:121" s="23" customFormat="1" ht="24.95" customHeight="1" x14ac:dyDescent="0.25">
      <c r="A136" s="898">
        <v>230</v>
      </c>
      <c r="B136" s="935">
        <v>2219</v>
      </c>
      <c r="C136" s="934">
        <v>6121</v>
      </c>
      <c r="D136" s="1233">
        <v>3109</v>
      </c>
      <c r="E136" s="1220" t="s">
        <v>455</v>
      </c>
      <c r="F136" s="1029" t="s">
        <v>115</v>
      </c>
      <c r="G136" s="111">
        <v>400</v>
      </c>
      <c r="H136" s="111">
        <v>2011</v>
      </c>
      <c r="I136" s="557">
        <v>2018</v>
      </c>
      <c r="J136" s="462">
        <f t="shared" si="30"/>
        <v>18676</v>
      </c>
      <c r="K136" s="463">
        <v>1455</v>
      </c>
      <c r="L136" s="464">
        <v>4971</v>
      </c>
      <c r="M136" s="465">
        <f t="shared" si="31"/>
        <v>6250</v>
      </c>
      <c r="N136" s="466">
        <v>6250</v>
      </c>
      <c r="O136" s="475">
        <v>0</v>
      </c>
      <c r="P136" s="467">
        <v>0</v>
      </c>
      <c r="Q136" s="464">
        <v>0</v>
      </c>
      <c r="R136" s="469">
        <v>0</v>
      </c>
      <c r="S136" s="467">
        <v>0</v>
      </c>
      <c r="T136" s="464">
        <v>0</v>
      </c>
      <c r="U136" s="469">
        <v>6000</v>
      </c>
      <c r="V136" s="467">
        <v>0</v>
      </c>
      <c r="W136" s="464">
        <v>0</v>
      </c>
      <c r="X136" s="469">
        <v>0</v>
      </c>
      <c r="Y136" s="467">
        <v>0</v>
      </c>
      <c r="Z136" s="468">
        <v>0</v>
      </c>
      <c r="AA136" s="478">
        <v>0</v>
      </c>
      <c r="AB136" s="32"/>
      <c r="AC136" s="1023"/>
      <c r="AD136" s="32"/>
      <c r="AE136" s="32"/>
      <c r="AF136" s="32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</row>
    <row r="137" spans="1:121" s="31" customFormat="1" ht="24.95" customHeight="1" x14ac:dyDescent="0.25">
      <c r="A137" s="898">
        <v>230</v>
      </c>
      <c r="B137" s="935">
        <v>2219</v>
      </c>
      <c r="C137" s="934">
        <v>6121</v>
      </c>
      <c r="D137" s="1055">
        <v>3111</v>
      </c>
      <c r="E137" s="1030" t="s">
        <v>454</v>
      </c>
      <c r="F137" s="1029" t="s">
        <v>263</v>
      </c>
      <c r="G137" s="111">
        <v>400</v>
      </c>
      <c r="H137" s="111">
        <v>2012</v>
      </c>
      <c r="I137" s="557">
        <v>2020</v>
      </c>
      <c r="J137" s="462">
        <f t="shared" si="30"/>
        <v>10466</v>
      </c>
      <c r="K137" s="463">
        <v>339</v>
      </c>
      <c r="L137" s="464">
        <v>7</v>
      </c>
      <c r="M137" s="465">
        <f t="shared" si="31"/>
        <v>420</v>
      </c>
      <c r="N137" s="466">
        <v>420</v>
      </c>
      <c r="O137" s="475">
        <v>0</v>
      </c>
      <c r="P137" s="467">
        <v>0</v>
      </c>
      <c r="Q137" s="464">
        <v>0</v>
      </c>
      <c r="R137" s="469">
        <v>9700</v>
      </c>
      <c r="S137" s="467">
        <v>0</v>
      </c>
      <c r="T137" s="464">
        <v>0</v>
      </c>
      <c r="U137" s="469">
        <v>0</v>
      </c>
      <c r="V137" s="467">
        <v>0</v>
      </c>
      <c r="W137" s="464">
        <v>0</v>
      </c>
      <c r="X137" s="469">
        <v>0</v>
      </c>
      <c r="Y137" s="467">
        <v>0</v>
      </c>
      <c r="Z137" s="468">
        <v>0</v>
      </c>
      <c r="AA137" s="478">
        <v>0</v>
      </c>
      <c r="AB137" s="1023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</row>
    <row r="138" spans="1:121" s="23" customFormat="1" ht="24.95" customHeight="1" x14ac:dyDescent="0.25">
      <c r="A138" s="898">
        <v>230</v>
      </c>
      <c r="B138" s="935">
        <v>2219</v>
      </c>
      <c r="C138" s="934">
        <v>6121</v>
      </c>
      <c r="D138" s="1233">
        <v>3126</v>
      </c>
      <c r="E138" s="1022" t="s">
        <v>453</v>
      </c>
      <c r="F138" s="1029" t="s">
        <v>127</v>
      </c>
      <c r="G138" s="111">
        <v>400</v>
      </c>
      <c r="H138" s="111">
        <v>2012</v>
      </c>
      <c r="I138" s="557">
        <v>2019</v>
      </c>
      <c r="J138" s="462">
        <f t="shared" si="30"/>
        <v>12287</v>
      </c>
      <c r="K138" s="463">
        <v>1252</v>
      </c>
      <c r="L138" s="464">
        <v>33</v>
      </c>
      <c r="M138" s="465">
        <f t="shared" si="31"/>
        <v>5002</v>
      </c>
      <c r="N138" s="466">
        <v>5002</v>
      </c>
      <c r="O138" s="475">
        <v>0</v>
      </c>
      <c r="P138" s="467">
        <v>0</v>
      </c>
      <c r="Q138" s="464">
        <v>0</v>
      </c>
      <c r="R138" s="469">
        <v>0</v>
      </c>
      <c r="S138" s="467">
        <v>0</v>
      </c>
      <c r="T138" s="464">
        <v>0</v>
      </c>
      <c r="U138" s="469">
        <v>6000</v>
      </c>
      <c r="V138" s="467">
        <v>0</v>
      </c>
      <c r="W138" s="464">
        <v>0</v>
      </c>
      <c r="X138" s="469">
        <v>0</v>
      </c>
      <c r="Y138" s="467">
        <v>0</v>
      </c>
      <c r="Z138" s="468">
        <v>0</v>
      </c>
      <c r="AA138" s="478">
        <v>0</v>
      </c>
      <c r="AB138" s="32"/>
      <c r="AC138" s="1023"/>
      <c r="AD138" s="32"/>
      <c r="AE138" s="32"/>
      <c r="AF138" s="32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</row>
    <row r="139" spans="1:121" s="23" customFormat="1" ht="24.95" customHeight="1" x14ac:dyDescent="0.25">
      <c r="A139" s="898">
        <v>230</v>
      </c>
      <c r="B139" s="935">
        <v>2219</v>
      </c>
      <c r="C139" s="934">
        <v>6121</v>
      </c>
      <c r="D139" s="1055">
        <v>3138</v>
      </c>
      <c r="E139" s="1007" t="s">
        <v>452</v>
      </c>
      <c r="F139" s="1025" t="s">
        <v>145</v>
      </c>
      <c r="G139" s="111">
        <v>400</v>
      </c>
      <c r="H139" s="111">
        <v>2012</v>
      </c>
      <c r="I139" s="557">
        <v>2021</v>
      </c>
      <c r="J139" s="462">
        <f t="shared" si="30"/>
        <v>13143</v>
      </c>
      <c r="K139" s="463">
        <v>589</v>
      </c>
      <c r="L139" s="464">
        <v>0</v>
      </c>
      <c r="M139" s="465">
        <f t="shared" si="31"/>
        <v>354</v>
      </c>
      <c r="N139" s="466">
        <v>354</v>
      </c>
      <c r="O139" s="475">
        <v>0</v>
      </c>
      <c r="P139" s="467">
        <v>0</v>
      </c>
      <c r="Q139" s="464">
        <v>0</v>
      </c>
      <c r="R139" s="469">
        <v>6000</v>
      </c>
      <c r="S139" s="467">
        <v>0</v>
      </c>
      <c r="T139" s="464">
        <v>0</v>
      </c>
      <c r="U139" s="469">
        <v>6200</v>
      </c>
      <c r="V139" s="467">
        <v>0</v>
      </c>
      <c r="W139" s="464">
        <v>0</v>
      </c>
      <c r="X139" s="469">
        <v>0</v>
      </c>
      <c r="Y139" s="467">
        <v>0</v>
      </c>
      <c r="Z139" s="468">
        <v>0</v>
      </c>
      <c r="AA139" s="478">
        <v>0</v>
      </c>
      <c r="AB139" s="32"/>
      <c r="AC139" s="25"/>
      <c r="AD139" s="32"/>
      <c r="AE139" s="32"/>
      <c r="AF139" s="32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</row>
    <row r="140" spans="1:121" s="23" customFormat="1" ht="24.95" customHeight="1" x14ac:dyDescent="0.25">
      <c r="A140" s="898">
        <v>230</v>
      </c>
      <c r="B140" s="935">
        <v>2219</v>
      </c>
      <c r="C140" s="934">
        <v>6121</v>
      </c>
      <c r="D140" s="1055">
        <v>3146</v>
      </c>
      <c r="E140" s="1028" t="s">
        <v>451</v>
      </c>
      <c r="F140" s="1025" t="s">
        <v>121</v>
      </c>
      <c r="G140" s="111">
        <v>400</v>
      </c>
      <c r="H140" s="111">
        <v>2016</v>
      </c>
      <c r="I140" s="557">
        <v>2020</v>
      </c>
      <c r="J140" s="462">
        <f t="shared" si="30"/>
        <v>9881</v>
      </c>
      <c r="K140" s="463">
        <v>402</v>
      </c>
      <c r="L140" s="464">
        <v>179</v>
      </c>
      <c r="M140" s="465">
        <f t="shared" si="31"/>
        <v>100</v>
      </c>
      <c r="N140" s="466">
        <v>100</v>
      </c>
      <c r="O140" s="475">
        <v>0</v>
      </c>
      <c r="P140" s="467">
        <v>0</v>
      </c>
      <c r="Q140" s="464">
        <v>0</v>
      </c>
      <c r="R140" s="469">
        <v>9200</v>
      </c>
      <c r="S140" s="467">
        <v>0</v>
      </c>
      <c r="T140" s="464">
        <v>0</v>
      </c>
      <c r="U140" s="469">
        <v>0</v>
      </c>
      <c r="V140" s="467">
        <v>0</v>
      </c>
      <c r="W140" s="464">
        <v>0</v>
      </c>
      <c r="X140" s="469">
        <v>0</v>
      </c>
      <c r="Y140" s="467">
        <v>0</v>
      </c>
      <c r="Z140" s="468">
        <v>0</v>
      </c>
      <c r="AA140" s="478">
        <v>0</v>
      </c>
      <c r="AB140" s="32"/>
      <c r="AC140" s="1023"/>
      <c r="AD140" s="32"/>
      <c r="AE140" s="32"/>
      <c r="AF140" s="32"/>
      <c r="AG140" s="25"/>
      <c r="AH140" s="25"/>
      <c r="AI140" s="25"/>
      <c r="AJ140" s="25"/>
      <c r="AK140" s="25"/>
      <c r="AL140" s="25"/>
      <c r="AM140" s="25"/>
      <c r="AN140" s="25"/>
      <c r="AO140" s="25"/>
      <c r="AP140" s="25"/>
      <c r="AQ140" s="25"/>
      <c r="AR140" s="25"/>
      <c r="AS140" s="25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5"/>
      <c r="BT140" s="25"/>
      <c r="BU140" s="25"/>
      <c r="BV140" s="25"/>
      <c r="BW140" s="25"/>
      <c r="BX140" s="25"/>
      <c r="BY140" s="25"/>
      <c r="BZ140" s="25"/>
      <c r="CA140" s="25"/>
      <c r="CB140" s="25"/>
      <c r="CC140" s="25"/>
      <c r="CD140" s="25"/>
      <c r="CE140" s="25"/>
      <c r="CF140" s="25"/>
      <c r="CG140" s="25"/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25"/>
      <c r="CT140" s="25"/>
      <c r="CU140" s="25"/>
      <c r="CV140" s="25"/>
      <c r="CW140" s="25"/>
      <c r="CX140" s="25"/>
      <c r="CY140" s="25"/>
      <c r="CZ140" s="25"/>
      <c r="DA140" s="25"/>
      <c r="DB140" s="25"/>
      <c r="DC140" s="25"/>
      <c r="DD140" s="25"/>
      <c r="DE140" s="25"/>
      <c r="DF140" s="25"/>
      <c r="DG140" s="25"/>
      <c r="DH140" s="25"/>
      <c r="DI140" s="25"/>
      <c r="DJ140" s="25"/>
      <c r="DK140" s="25"/>
      <c r="DL140" s="25"/>
      <c r="DM140" s="25"/>
      <c r="DN140" s="25"/>
      <c r="DO140" s="25"/>
      <c r="DP140" s="25"/>
      <c r="DQ140" s="25"/>
    </row>
    <row r="141" spans="1:121" s="34" customFormat="1" ht="24.95" customHeight="1" x14ac:dyDescent="0.25">
      <c r="A141" s="898">
        <v>230</v>
      </c>
      <c r="B141" s="935">
        <v>2219</v>
      </c>
      <c r="C141" s="934">
        <v>6121</v>
      </c>
      <c r="D141" s="1233">
        <v>3152</v>
      </c>
      <c r="E141" s="1022" t="s">
        <v>450</v>
      </c>
      <c r="F141" s="1025" t="s">
        <v>121</v>
      </c>
      <c r="G141" s="111">
        <v>400</v>
      </c>
      <c r="H141" s="111">
        <v>2013</v>
      </c>
      <c r="I141" s="557">
        <v>2018</v>
      </c>
      <c r="J141" s="462">
        <f t="shared" si="30"/>
        <v>11242</v>
      </c>
      <c r="K141" s="463">
        <v>1092</v>
      </c>
      <c r="L141" s="464">
        <v>8751</v>
      </c>
      <c r="M141" s="465">
        <f t="shared" si="31"/>
        <v>1399</v>
      </c>
      <c r="N141" s="466">
        <v>1399</v>
      </c>
      <c r="O141" s="475">
        <v>0</v>
      </c>
      <c r="P141" s="467">
        <v>0</v>
      </c>
      <c r="Q141" s="464">
        <v>0</v>
      </c>
      <c r="R141" s="469">
        <v>0</v>
      </c>
      <c r="S141" s="467">
        <v>0</v>
      </c>
      <c r="T141" s="464">
        <v>0</v>
      </c>
      <c r="U141" s="469">
        <v>0</v>
      </c>
      <c r="V141" s="467">
        <v>0</v>
      </c>
      <c r="W141" s="464">
        <v>0</v>
      </c>
      <c r="X141" s="469">
        <v>0</v>
      </c>
      <c r="Y141" s="467">
        <v>0</v>
      </c>
      <c r="Z141" s="468">
        <v>0</v>
      </c>
      <c r="AA141" s="478">
        <v>0</v>
      </c>
      <c r="AB141" s="32"/>
      <c r="AC141" s="1023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</row>
    <row r="142" spans="1:121" s="23" customFormat="1" ht="24.95" customHeight="1" x14ac:dyDescent="0.25">
      <c r="A142" s="898">
        <v>230</v>
      </c>
      <c r="B142" s="935">
        <v>2219</v>
      </c>
      <c r="C142" s="934">
        <v>6121</v>
      </c>
      <c r="D142" s="1055">
        <v>3153</v>
      </c>
      <c r="E142" s="1028" t="s">
        <v>449</v>
      </c>
      <c r="F142" s="1025" t="s">
        <v>147</v>
      </c>
      <c r="G142" s="111">
        <v>400</v>
      </c>
      <c r="H142" s="111">
        <v>2013</v>
      </c>
      <c r="I142" s="557">
        <v>2019</v>
      </c>
      <c r="J142" s="462">
        <f t="shared" si="30"/>
        <v>9113</v>
      </c>
      <c r="K142" s="463">
        <v>813</v>
      </c>
      <c r="L142" s="464">
        <v>31</v>
      </c>
      <c r="M142" s="465">
        <f t="shared" si="31"/>
        <v>4169</v>
      </c>
      <c r="N142" s="466">
        <v>69</v>
      </c>
      <c r="O142" s="475">
        <f>8200-4100</f>
        <v>4100</v>
      </c>
      <c r="P142" s="467">
        <v>0</v>
      </c>
      <c r="Q142" s="464">
        <v>0</v>
      </c>
      <c r="R142" s="469">
        <v>4100</v>
      </c>
      <c r="S142" s="467">
        <v>0</v>
      </c>
      <c r="T142" s="464">
        <v>0</v>
      </c>
      <c r="U142" s="469">
        <v>0</v>
      </c>
      <c r="V142" s="467">
        <v>0</v>
      </c>
      <c r="W142" s="464">
        <v>0</v>
      </c>
      <c r="X142" s="469">
        <v>0</v>
      </c>
      <c r="Y142" s="467">
        <v>0</v>
      </c>
      <c r="Z142" s="468">
        <v>0</v>
      </c>
      <c r="AA142" s="478">
        <v>0</v>
      </c>
      <c r="AB142" s="32"/>
      <c r="AC142" s="1023"/>
      <c r="AD142" s="32"/>
      <c r="AE142" s="32"/>
      <c r="AF142" s="32"/>
      <c r="AG142" s="25"/>
      <c r="AH142" s="25"/>
      <c r="AI142" s="25"/>
      <c r="AJ142" s="25"/>
      <c r="AK142" s="25"/>
      <c r="AL142" s="25"/>
      <c r="AM142" s="25"/>
      <c r="AN142" s="25"/>
      <c r="AO142" s="25"/>
      <c r="AP142" s="25"/>
      <c r="AQ142" s="25"/>
      <c r="AR142" s="25"/>
      <c r="AS142" s="25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  <c r="BF142" s="25"/>
      <c r="BG142" s="25"/>
      <c r="BH142" s="25"/>
      <c r="BI142" s="25"/>
      <c r="BJ142" s="25"/>
      <c r="BK142" s="25"/>
      <c r="BL142" s="25"/>
      <c r="BM142" s="25"/>
      <c r="BN142" s="25"/>
      <c r="BO142" s="25"/>
      <c r="BP142" s="25"/>
      <c r="BQ142" s="25"/>
      <c r="BR142" s="25"/>
      <c r="BS142" s="25"/>
      <c r="BT142" s="25"/>
      <c r="BU142" s="25"/>
      <c r="BV142" s="25"/>
      <c r="BW142" s="25"/>
      <c r="BX142" s="25"/>
      <c r="BY142" s="25"/>
      <c r="BZ142" s="25"/>
      <c r="CA142" s="25"/>
      <c r="CB142" s="25"/>
      <c r="CC142" s="25"/>
      <c r="CD142" s="25"/>
      <c r="CE142" s="25"/>
      <c r="CF142" s="25"/>
      <c r="CG142" s="25"/>
      <c r="CH142" s="25"/>
      <c r="CI142" s="25"/>
      <c r="CJ142" s="25"/>
      <c r="CK142" s="25"/>
      <c r="CL142" s="25"/>
      <c r="CM142" s="25"/>
      <c r="CN142" s="25"/>
      <c r="CO142" s="25"/>
      <c r="CP142" s="25"/>
      <c r="CQ142" s="25"/>
      <c r="CR142" s="25"/>
      <c r="CS142" s="25"/>
      <c r="CT142" s="25"/>
      <c r="CU142" s="25"/>
      <c r="CV142" s="25"/>
      <c r="CW142" s="25"/>
      <c r="CX142" s="25"/>
      <c r="CY142" s="25"/>
      <c r="CZ142" s="25"/>
      <c r="DA142" s="25"/>
      <c r="DB142" s="25"/>
      <c r="DC142" s="25"/>
      <c r="DD142" s="25"/>
      <c r="DE142" s="25"/>
      <c r="DF142" s="25"/>
      <c r="DG142" s="25"/>
      <c r="DH142" s="25"/>
      <c r="DI142" s="25"/>
      <c r="DJ142" s="25"/>
      <c r="DK142" s="25"/>
      <c r="DL142" s="25"/>
      <c r="DM142" s="25"/>
      <c r="DN142" s="25"/>
      <c r="DO142" s="25"/>
      <c r="DP142" s="25"/>
      <c r="DQ142" s="25"/>
    </row>
    <row r="143" spans="1:121" s="23" customFormat="1" ht="24.95" customHeight="1" x14ac:dyDescent="0.25">
      <c r="A143" s="898">
        <v>230</v>
      </c>
      <c r="B143" s="935">
        <v>2219</v>
      </c>
      <c r="C143" s="934">
        <v>6121</v>
      </c>
      <c r="D143" s="1055">
        <v>3154</v>
      </c>
      <c r="E143" s="1007" t="s">
        <v>448</v>
      </c>
      <c r="F143" s="1025" t="s">
        <v>168</v>
      </c>
      <c r="G143" s="111">
        <v>400</v>
      </c>
      <c r="H143" s="111">
        <v>2013</v>
      </c>
      <c r="I143" s="557">
        <v>2021</v>
      </c>
      <c r="J143" s="462">
        <f t="shared" si="30"/>
        <v>19578</v>
      </c>
      <c r="K143" s="463">
        <v>575</v>
      </c>
      <c r="L143" s="464">
        <v>0</v>
      </c>
      <c r="M143" s="465">
        <f t="shared" si="31"/>
        <v>1003</v>
      </c>
      <c r="N143" s="466">
        <v>503</v>
      </c>
      <c r="O143" s="475">
        <v>500</v>
      </c>
      <c r="P143" s="467">
        <v>0</v>
      </c>
      <c r="Q143" s="464">
        <v>0</v>
      </c>
      <c r="R143" s="469">
        <v>0</v>
      </c>
      <c r="S143" s="467">
        <v>0</v>
      </c>
      <c r="T143" s="464">
        <v>0</v>
      </c>
      <c r="U143" s="469">
        <v>18000</v>
      </c>
      <c r="V143" s="467">
        <v>0</v>
      </c>
      <c r="W143" s="464">
        <v>0</v>
      </c>
      <c r="X143" s="469">
        <v>0</v>
      </c>
      <c r="Y143" s="467">
        <v>0</v>
      </c>
      <c r="Z143" s="468">
        <v>0</v>
      </c>
      <c r="AA143" s="478">
        <v>0</v>
      </c>
      <c r="AB143" s="32"/>
      <c r="AC143" s="1023"/>
      <c r="AD143" s="32"/>
      <c r="AE143" s="32"/>
      <c r="AF143" s="32"/>
      <c r="AG143" s="25"/>
      <c r="AH143" s="25"/>
      <c r="AI143" s="25"/>
      <c r="AJ143" s="25"/>
      <c r="AK143" s="25"/>
      <c r="AL143" s="25"/>
      <c r="AM143" s="25"/>
      <c r="AN143" s="25"/>
      <c r="AO143" s="25"/>
      <c r="AP143" s="25"/>
      <c r="AQ143" s="25"/>
      <c r="AR143" s="25"/>
      <c r="AS143" s="25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  <c r="BF143" s="25"/>
      <c r="BG143" s="25"/>
      <c r="BH143" s="25"/>
      <c r="BI143" s="25"/>
      <c r="BJ143" s="25"/>
      <c r="BK143" s="25"/>
      <c r="BL143" s="25"/>
      <c r="BM143" s="25"/>
      <c r="BN143" s="25"/>
      <c r="BO143" s="25"/>
      <c r="BP143" s="25"/>
      <c r="BQ143" s="25"/>
      <c r="BR143" s="25"/>
      <c r="BS143" s="25"/>
      <c r="BT143" s="25"/>
      <c r="BU143" s="25"/>
      <c r="BV143" s="25"/>
      <c r="BW143" s="25"/>
      <c r="BX143" s="25"/>
      <c r="BY143" s="25"/>
      <c r="BZ143" s="25"/>
      <c r="CA143" s="25"/>
      <c r="CB143" s="25"/>
      <c r="CC143" s="25"/>
      <c r="CD143" s="25"/>
      <c r="CE143" s="25"/>
      <c r="CF143" s="25"/>
      <c r="CG143" s="25"/>
      <c r="CH143" s="25"/>
      <c r="CI143" s="25"/>
      <c r="CJ143" s="25"/>
      <c r="CK143" s="25"/>
      <c r="CL143" s="25"/>
      <c r="CM143" s="25"/>
      <c r="CN143" s="25"/>
      <c r="CO143" s="25"/>
      <c r="CP143" s="25"/>
      <c r="CQ143" s="25"/>
      <c r="CR143" s="25"/>
      <c r="CS143" s="25"/>
      <c r="CT143" s="25"/>
      <c r="CU143" s="25"/>
      <c r="CV143" s="25"/>
      <c r="CW143" s="25"/>
      <c r="CX143" s="25"/>
      <c r="CY143" s="25"/>
      <c r="CZ143" s="25"/>
      <c r="DA143" s="25"/>
      <c r="DB143" s="25"/>
      <c r="DC143" s="25"/>
      <c r="DD143" s="25"/>
      <c r="DE143" s="25"/>
      <c r="DF143" s="25"/>
      <c r="DG143" s="25"/>
      <c r="DH143" s="25"/>
      <c r="DI143" s="25"/>
      <c r="DJ143" s="25"/>
      <c r="DK143" s="25"/>
      <c r="DL143" s="25"/>
      <c r="DM143" s="25"/>
      <c r="DN143" s="25"/>
      <c r="DO143" s="25"/>
      <c r="DP143" s="25"/>
      <c r="DQ143" s="25"/>
    </row>
    <row r="144" spans="1:121" s="23" customFormat="1" ht="24.95" customHeight="1" x14ac:dyDescent="0.25">
      <c r="A144" s="898">
        <v>230</v>
      </c>
      <c r="B144" s="935">
        <v>2219</v>
      </c>
      <c r="C144" s="934">
        <v>6121</v>
      </c>
      <c r="D144" s="1055">
        <v>3155</v>
      </c>
      <c r="E144" s="1028" t="s">
        <v>447</v>
      </c>
      <c r="F144" s="1025" t="s">
        <v>178</v>
      </c>
      <c r="G144" s="111">
        <v>400</v>
      </c>
      <c r="H144" s="111">
        <v>2013</v>
      </c>
      <c r="I144" s="557">
        <v>2020</v>
      </c>
      <c r="J144" s="462">
        <f t="shared" si="30"/>
        <v>21086</v>
      </c>
      <c r="K144" s="463">
        <v>478</v>
      </c>
      <c r="L144" s="464">
        <v>36</v>
      </c>
      <c r="M144" s="465">
        <f t="shared" si="31"/>
        <v>3072</v>
      </c>
      <c r="N144" s="466">
        <v>572</v>
      </c>
      <c r="O144" s="475">
        <f>5000-2500</f>
        <v>2500</v>
      </c>
      <c r="P144" s="467">
        <v>0</v>
      </c>
      <c r="Q144" s="464">
        <v>0</v>
      </c>
      <c r="R144" s="469">
        <f>15000+2500</f>
        <v>17500</v>
      </c>
      <c r="S144" s="467">
        <v>0</v>
      </c>
      <c r="T144" s="464">
        <v>0</v>
      </c>
      <c r="U144" s="469">
        <v>0</v>
      </c>
      <c r="V144" s="467">
        <v>0</v>
      </c>
      <c r="W144" s="464">
        <v>0</v>
      </c>
      <c r="X144" s="469">
        <v>0</v>
      </c>
      <c r="Y144" s="467">
        <v>0</v>
      </c>
      <c r="Z144" s="468">
        <v>0</v>
      </c>
      <c r="AA144" s="478">
        <v>0</v>
      </c>
      <c r="AB144" s="32"/>
      <c r="AC144" s="1023"/>
      <c r="AD144" s="32"/>
      <c r="AE144" s="32"/>
      <c r="AF144" s="32"/>
      <c r="AG144" s="25"/>
      <c r="AH144" s="25"/>
      <c r="AI144" s="25"/>
      <c r="AJ144" s="25"/>
      <c r="AK144" s="25"/>
      <c r="AL144" s="25"/>
      <c r="AM144" s="25"/>
      <c r="AN144" s="25"/>
      <c r="AO144" s="25"/>
      <c r="AP144" s="25"/>
      <c r="AQ144" s="25"/>
      <c r="AR144" s="25"/>
      <c r="AS144" s="25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  <c r="BF144" s="25"/>
      <c r="BG144" s="25"/>
      <c r="BH144" s="25"/>
      <c r="BI144" s="25"/>
      <c r="BJ144" s="25"/>
      <c r="BK144" s="25"/>
      <c r="BL144" s="25"/>
      <c r="BM144" s="25"/>
      <c r="BN144" s="25"/>
      <c r="BO144" s="25"/>
      <c r="BP144" s="25"/>
      <c r="BQ144" s="25"/>
      <c r="BR144" s="25"/>
      <c r="BS144" s="25"/>
      <c r="BT144" s="25"/>
      <c r="BU144" s="25"/>
      <c r="BV144" s="25"/>
      <c r="BW144" s="25"/>
      <c r="BX144" s="25"/>
      <c r="BY144" s="25"/>
      <c r="BZ144" s="25"/>
      <c r="CA144" s="25"/>
      <c r="CB144" s="25"/>
      <c r="CC144" s="25"/>
      <c r="CD144" s="25"/>
      <c r="CE144" s="25"/>
      <c r="CF144" s="25"/>
      <c r="CG144" s="25"/>
      <c r="CH144" s="25"/>
      <c r="CI144" s="25"/>
      <c r="CJ144" s="25"/>
      <c r="CK144" s="25"/>
      <c r="CL144" s="25"/>
      <c r="CM144" s="25"/>
      <c r="CN144" s="25"/>
      <c r="CO144" s="25"/>
      <c r="CP144" s="25"/>
      <c r="CQ144" s="25"/>
      <c r="CR144" s="25"/>
      <c r="CS144" s="25"/>
      <c r="CT144" s="25"/>
      <c r="CU144" s="25"/>
      <c r="CV144" s="25"/>
      <c r="CW144" s="25"/>
      <c r="CX144" s="25"/>
      <c r="CY144" s="25"/>
      <c r="CZ144" s="25"/>
      <c r="DA144" s="25"/>
      <c r="DB144" s="25"/>
      <c r="DC144" s="25"/>
      <c r="DD144" s="25"/>
      <c r="DE144" s="25"/>
      <c r="DF144" s="25"/>
      <c r="DG144" s="25"/>
      <c r="DH144" s="25"/>
      <c r="DI144" s="25"/>
      <c r="DJ144" s="25"/>
      <c r="DK144" s="25"/>
      <c r="DL144" s="25"/>
      <c r="DM144" s="25"/>
      <c r="DN144" s="25"/>
      <c r="DO144" s="25"/>
      <c r="DP144" s="25"/>
      <c r="DQ144" s="25"/>
    </row>
    <row r="145" spans="1:121" s="23" customFormat="1" ht="24.95" customHeight="1" x14ac:dyDescent="0.25">
      <c r="A145" s="898">
        <v>230</v>
      </c>
      <c r="B145" s="935">
        <v>2219</v>
      </c>
      <c r="C145" s="934">
        <v>6121</v>
      </c>
      <c r="D145" s="1055">
        <v>3176</v>
      </c>
      <c r="E145" s="1219" t="s">
        <v>446</v>
      </c>
      <c r="F145" s="1027" t="s">
        <v>147</v>
      </c>
      <c r="G145" s="111">
        <v>400</v>
      </c>
      <c r="H145" s="111">
        <v>2014</v>
      </c>
      <c r="I145" s="557">
        <v>2020</v>
      </c>
      <c r="J145" s="462">
        <f t="shared" si="30"/>
        <v>10598</v>
      </c>
      <c r="K145" s="463">
        <v>323</v>
      </c>
      <c r="L145" s="464">
        <v>0</v>
      </c>
      <c r="M145" s="465">
        <f t="shared" si="31"/>
        <v>775</v>
      </c>
      <c r="N145" s="466">
        <v>775</v>
      </c>
      <c r="O145" s="475">
        <v>0</v>
      </c>
      <c r="P145" s="467">
        <v>0</v>
      </c>
      <c r="Q145" s="464">
        <v>0</v>
      </c>
      <c r="R145" s="469">
        <v>9500</v>
      </c>
      <c r="S145" s="467">
        <v>0</v>
      </c>
      <c r="T145" s="464">
        <v>0</v>
      </c>
      <c r="U145" s="469">
        <v>0</v>
      </c>
      <c r="V145" s="467">
        <v>0</v>
      </c>
      <c r="W145" s="464">
        <v>0</v>
      </c>
      <c r="X145" s="469">
        <v>0</v>
      </c>
      <c r="Y145" s="467">
        <v>0</v>
      </c>
      <c r="Z145" s="468">
        <v>0</v>
      </c>
      <c r="AA145" s="478">
        <v>0</v>
      </c>
      <c r="AB145" s="32"/>
      <c r="AC145" s="1023"/>
      <c r="AD145" s="32"/>
      <c r="AE145" s="32"/>
      <c r="AF145" s="32"/>
      <c r="AG145" s="25"/>
      <c r="AH145" s="25"/>
      <c r="AI145" s="25"/>
      <c r="AJ145" s="25"/>
      <c r="AK145" s="25"/>
      <c r="AL145" s="25"/>
      <c r="AM145" s="25"/>
      <c r="AN145" s="25"/>
      <c r="AO145" s="25"/>
      <c r="AP145" s="25"/>
      <c r="AQ145" s="25"/>
      <c r="AR145" s="25"/>
      <c r="AS145" s="25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  <c r="BF145" s="25"/>
      <c r="BG145" s="25"/>
      <c r="BH145" s="25"/>
      <c r="BI145" s="25"/>
      <c r="BJ145" s="25"/>
      <c r="BK145" s="25"/>
      <c r="BL145" s="25"/>
      <c r="BM145" s="25"/>
      <c r="BN145" s="25"/>
      <c r="BO145" s="25"/>
      <c r="BP145" s="25"/>
      <c r="BQ145" s="25"/>
      <c r="BR145" s="25"/>
      <c r="BS145" s="25"/>
      <c r="BT145" s="25"/>
      <c r="BU145" s="25"/>
      <c r="BV145" s="25"/>
      <c r="BW145" s="25"/>
      <c r="BX145" s="25"/>
      <c r="BY145" s="25"/>
      <c r="BZ145" s="25"/>
      <c r="CA145" s="25"/>
      <c r="CB145" s="25"/>
      <c r="CC145" s="25"/>
      <c r="CD145" s="25"/>
      <c r="CE145" s="25"/>
      <c r="CF145" s="25"/>
      <c r="CG145" s="25"/>
      <c r="CH145" s="25"/>
      <c r="CI145" s="25"/>
      <c r="CJ145" s="25"/>
      <c r="CK145" s="25"/>
      <c r="CL145" s="25"/>
      <c r="CM145" s="25"/>
      <c r="CN145" s="25"/>
      <c r="CO145" s="25"/>
      <c r="CP145" s="25"/>
      <c r="CQ145" s="25"/>
      <c r="CR145" s="25"/>
      <c r="CS145" s="25"/>
      <c r="CT145" s="25"/>
      <c r="CU145" s="25"/>
      <c r="CV145" s="25"/>
      <c r="CW145" s="25"/>
      <c r="CX145" s="25"/>
      <c r="CY145" s="25"/>
      <c r="CZ145" s="25"/>
      <c r="DA145" s="25"/>
      <c r="DB145" s="25"/>
      <c r="DC145" s="25"/>
      <c r="DD145" s="25"/>
      <c r="DE145" s="25"/>
      <c r="DF145" s="25"/>
      <c r="DG145" s="25"/>
      <c r="DH145" s="25"/>
      <c r="DI145" s="25"/>
      <c r="DJ145" s="25"/>
      <c r="DK145" s="25"/>
      <c r="DL145" s="25"/>
      <c r="DM145" s="25"/>
      <c r="DN145" s="25"/>
      <c r="DO145" s="25"/>
      <c r="DP145" s="25"/>
      <c r="DQ145" s="25"/>
    </row>
    <row r="146" spans="1:121" s="23" customFormat="1" ht="24.95" customHeight="1" x14ac:dyDescent="0.25">
      <c r="A146" s="898">
        <v>230</v>
      </c>
      <c r="B146" s="935">
        <v>2219</v>
      </c>
      <c r="C146" s="934">
        <v>6121</v>
      </c>
      <c r="D146" s="1055">
        <v>3177</v>
      </c>
      <c r="E146" s="1221" t="s">
        <v>445</v>
      </c>
      <c r="F146" s="1027" t="s">
        <v>127</v>
      </c>
      <c r="G146" s="111">
        <v>400</v>
      </c>
      <c r="H146" s="111">
        <v>2014</v>
      </c>
      <c r="I146" s="557">
        <v>2021</v>
      </c>
      <c r="J146" s="462">
        <f t="shared" si="30"/>
        <v>12557</v>
      </c>
      <c r="K146" s="463">
        <v>357</v>
      </c>
      <c r="L146" s="464">
        <v>0</v>
      </c>
      <c r="M146" s="465">
        <f t="shared" si="31"/>
        <v>700</v>
      </c>
      <c r="N146" s="466">
        <v>500</v>
      </c>
      <c r="O146" s="475">
        <v>200</v>
      </c>
      <c r="P146" s="467">
        <v>0</v>
      </c>
      <c r="Q146" s="464">
        <v>0</v>
      </c>
      <c r="R146" s="469">
        <v>0</v>
      </c>
      <c r="S146" s="467">
        <v>0</v>
      </c>
      <c r="T146" s="464">
        <v>0</v>
      </c>
      <c r="U146" s="469">
        <v>11500</v>
      </c>
      <c r="V146" s="467">
        <v>0</v>
      </c>
      <c r="W146" s="464">
        <v>0</v>
      </c>
      <c r="X146" s="469">
        <v>0</v>
      </c>
      <c r="Y146" s="467">
        <v>0</v>
      </c>
      <c r="Z146" s="468">
        <v>0</v>
      </c>
      <c r="AA146" s="478">
        <v>0</v>
      </c>
      <c r="AB146" s="32"/>
      <c r="AC146" s="1023"/>
      <c r="AD146" s="32"/>
      <c r="AE146" s="32"/>
      <c r="AF146" s="32"/>
      <c r="AG146" s="25"/>
      <c r="AH146" s="25"/>
      <c r="AI146" s="25"/>
      <c r="AJ146" s="25"/>
      <c r="AK146" s="25"/>
      <c r="AL146" s="25"/>
      <c r="AM146" s="25"/>
      <c r="AN146" s="25"/>
      <c r="AO146" s="25"/>
      <c r="AP146" s="25"/>
      <c r="AQ146" s="25"/>
      <c r="AR146" s="25"/>
      <c r="AS146" s="25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  <c r="BF146" s="25"/>
      <c r="BG146" s="25"/>
      <c r="BH146" s="25"/>
      <c r="BI146" s="25"/>
      <c r="BJ146" s="25"/>
      <c r="BK146" s="25"/>
      <c r="BL146" s="25"/>
      <c r="BM146" s="25"/>
      <c r="BN146" s="25"/>
      <c r="BO146" s="25"/>
      <c r="BP146" s="25"/>
      <c r="BQ146" s="25"/>
      <c r="BR146" s="25"/>
      <c r="BS146" s="25"/>
      <c r="BT146" s="25"/>
      <c r="BU146" s="25"/>
      <c r="BV146" s="25"/>
      <c r="BW146" s="25"/>
      <c r="BX146" s="25"/>
      <c r="BY146" s="25"/>
      <c r="BZ146" s="25"/>
      <c r="CA146" s="25"/>
      <c r="CB146" s="25"/>
      <c r="CC146" s="25"/>
      <c r="CD146" s="25"/>
      <c r="CE146" s="25"/>
      <c r="CF146" s="25"/>
      <c r="CG146" s="25"/>
      <c r="CH146" s="25"/>
      <c r="CI146" s="25"/>
      <c r="CJ146" s="25"/>
      <c r="CK146" s="25"/>
      <c r="CL146" s="25"/>
      <c r="CM146" s="25"/>
      <c r="CN146" s="25"/>
      <c r="CO146" s="25"/>
      <c r="CP146" s="25"/>
      <c r="CQ146" s="25"/>
      <c r="CR146" s="25"/>
      <c r="CS146" s="25"/>
      <c r="CT146" s="25"/>
      <c r="CU146" s="25"/>
      <c r="CV146" s="25"/>
      <c r="CW146" s="25"/>
      <c r="CX146" s="25"/>
      <c r="CY146" s="25"/>
      <c r="CZ146" s="25"/>
      <c r="DA146" s="25"/>
      <c r="DB146" s="25"/>
      <c r="DC146" s="25"/>
      <c r="DD146" s="25"/>
      <c r="DE146" s="25"/>
      <c r="DF146" s="25"/>
      <c r="DG146" s="25"/>
      <c r="DH146" s="25"/>
      <c r="DI146" s="25"/>
      <c r="DJ146" s="25"/>
      <c r="DK146" s="25"/>
      <c r="DL146" s="25"/>
      <c r="DM146" s="25"/>
      <c r="DN146" s="25"/>
      <c r="DO146" s="25"/>
      <c r="DP146" s="25"/>
      <c r="DQ146" s="25"/>
    </row>
    <row r="147" spans="1:121" s="23" customFormat="1" ht="24.95" customHeight="1" x14ac:dyDescent="0.25">
      <c r="A147" s="898">
        <v>230</v>
      </c>
      <c r="B147" s="1021">
        <v>2219</v>
      </c>
      <c r="C147" s="1020">
        <v>6121</v>
      </c>
      <c r="D147" s="1055">
        <v>3179</v>
      </c>
      <c r="E147" s="1019" t="s">
        <v>444</v>
      </c>
      <c r="F147" s="482" t="s">
        <v>127</v>
      </c>
      <c r="G147" s="483">
        <v>400</v>
      </c>
      <c r="H147" s="483">
        <v>2015</v>
      </c>
      <c r="I147" s="484">
        <v>2020</v>
      </c>
      <c r="J147" s="462">
        <f t="shared" si="30"/>
        <v>34614</v>
      </c>
      <c r="K147" s="463">
        <v>119</v>
      </c>
      <c r="L147" s="464">
        <v>845</v>
      </c>
      <c r="M147" s="465">
        <f t="shared" si="31"/>
        <v>1650</v>
      </c>
      <c r="N147" s="466">
        <v>1155</v>
      </c>
      <c r="O147" s="475">
        <f>495</f>
        <v>495</v>
      </c>
      <c r="P147" s="467">
        <v>0</v>
      </c>
      <c r="Q147" s="464">
        <v>0</v>
      </c>
      <c r="R147" s="469">
        <v>32000</v>
      </c>
      <c r="S147" s="467">
        <v>0</v>
      </c>
      <c r="T147" s="464">
        <v>0</v>
      </c>
      <c r="U147" s="469">
        <v>0</v>
      </c>
      <c r="V147" s="467">
        <v>0</v>
      </c>
      <c r="W147" s="464">
        <v>0</v>
      </c>
      <c r="X147" s="469">
        <v>0</v>
      </c>
      <c r="Y147" s="467">
        <v>0</v>
      </c>
      <c r="Z147" s="468">
        <v>0</v>
      </c>
      <c r="AA147" s="478">
        <v>0</v>
      </c>
      <c r="AB147" s="32"/>
      <c r="AC147" s="1023"/>
      <c r="AD147" s="32"/>
      <c r="AE147" s="32"/>
      <c r="AF147" s="32"/>
      <c r="AG147" s="25"/>
      <c r="AH147" s="25"/>
      <c r="AI147" s="25"/>
      <c r="AJ147" s="25"/>
      <c r="AK147" s="25"/>
      <c r="AL147" s="25"/>
      <c r="AM147" s="25"/>
      <c r="AN147" s="25"/>
      <c r="AO147" s="25"/>
      <c r="AP147" s="25"/>
      <c r="AQ147" s="25"/>
      <c r="AR147" s="25"/>
      <c r="AS147" s="25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  <c r="BF147" s="25"/>
      <c r="BG147" s="25"/>
      <c r="BH147" s="25"/>
      <c r="BI147" s="25"/>
      <c r="BJ147" s="25"/>
      <c r="BK147" s="25"/>
      <c r="BL147" s="25"/>
      <c r="BM147" s="25"/>
      <c r="BN147" s="25"/>
      <c r="BO147" s="25"/>
      <c r="BP147" s="25"/>
      <c r="BQ147" s="25"/>
      <c r="BR147" s="25"/>
      <c r="BS147" s="25"/>
      <c r="BT147" s="25"/>
      <c r="BU147" s="25"/>
      <c r="BV147" s="25"/>
      <c r="BW147" s="25"/>
      <c r="BX147" s="25"/>
      <c r="BY147" s="25"/>
      <c r="BZ147" s="25"/>
      <c r="CA147" s="25"/>
      <c r="CB147" s="25"/>
      <c r="CC147" s="25"/>
      <c r="CD147" s="25"/>
      <c r="CE147" s="25"/>
      <c r="CF147" s="25"/>
      <c r="CG147" s="25"/>
      <c r="CH147" s="25"/>
      <c r="CI147" s="25"/>
      <c r="CJ147" s="25"/>
      <c r="CK147" s="25"/>
      <c r="CL147" s="25"/>
      <c r="CM147" s="25"/>
      <c r="CN147" s="25"/>
      <c r="CO147" s="25"/>
      <c r="CP147" s="25"/>
      <c r="CQ147" s="25"/>
      <c r="CR147" s="25"/>
      <c r="CS147" s="25"/>
      <c r="CT147" s="25"/>
      <c r="CU147" s="25"/>
      <c r="CV147" s="25"/>
      <c r="CW147" s="25"/>
      <c r="CX147" s="25"/>
      <c r="CY147" s="25"/>
      <c r="CZ147" s="25"/>
      <c r="DA147" s="25"/>
      <c r="DB147" s="25"/>
      <c r="DC147" s="25"/>
      <c r="DD147" s="25"/>
      <c r="DE147" s="25"/>
      <c r="DF147" s="25"/>
      <c r="DG147" s="25"/>
      <c r="DH147" s="25"/>
      <c r="DI147" s="25"/>
      <c r="DJ147" s="25"/>
      <c r="DK147" s="25"/>
      <c r="DL147" s="25"/>
      <c r="DM147" s="25"/>
      <c r="DN147" s="25"/>
      <c r="DO147" s="25"/>
      <c r="DP147" s="25"/>
      <c r="DQ147" s="25"/>
    </row>
    <row r="148" spans="1:121" s="23" customFormat="1" ht="24.95" customHeight="1" x14ac:dyDescent="0.25">
      <c r="A148" s="898">
        <v>230</v>
      </c>
      <c r="B148" s="935">
        <v>2219</v>
      </c>
      <c r="C148" s="934">
        <v>6121</v>
      </c>
      <c r="D148" s="1055">
        <v>3185</v>
      </c>
      <c r="E148" s="1007" t="s">
        <v>443</v>
      </c>
      <c r="F148" s="1025"/>
      <c r="G148" s="111">
        <v>400</v>
      </c>
      <c r="H148" s="111">
        <v>2015</v>
      </c>
      <c r="I148" s="557">
        <v>2021</v>
      </c>
      <c r="J148" s="462">
        <f t="shared" si="30"/>
        <v>39933</v>
      </c>
      <c r="K148" s="463">
        <v>763</v>
      </c>
      <c r="L148" s="464">
        <v>300</v>
      </c>
      <c r="M148" s="465">
        <f t="shared" si="31"/>
        <v>4870</v>
      </c>
      <c r="N148" s="466">
        <v>870</v>
      </c>
      <c r="O148" s="475">
        <f>8000-4000</f>
        <v>4000</v>
      </c>
      <c r="P148" s="467">
        <v>0</v>
      </c>
      <c r="Q148" s="464">
        <v>0</v>
      </c>
      <c r="R148" s="469">
        <f>20000+4000</f>
        <v>24000</v>
      </c>
      <c r="S148" s="467">
        <v>0</v>
      </c>
      <c r="T148" s="464">
        <v>0</v>
      </c>
      <c r="U148" s="469">
        <v>10000</v>
      </c>
      <c r="V148" s="467">
        <v>0</v>
      </c>
      <c r="W148" s="464">
        <v>0</v>
      </c>
      <c r="X148" s="469">
        <v>0</v>
      </c>
      <c r="Y148" s="467">
        <v>0</v>
      </c>
      <c r="Z148" s="468">
        <v>0</v>
      </c>
      <c r="AA148" s="478">
        <v>0</v>
      </c>
      <c r="AB148" s="32"/>
      <c r="AC148" s="1023"/>
      <c r="AD148" s="32"/>
      <c r="AE148" s="32"/>
      <c r="AF148" s="32"/>
      <c r="AG148" s="25"/>
      <c r="AH148" s="25"/>
      <c r="AI148" s="25"/>
      <c r="AJ148" s="25"/>
      <c r="AK148" s="25"/>
      <c r="AL148" s="25"/>
      <c r="AM148" s="25"/>
      <c r="AN148" s="25"/>
      <c r="AO148" s="25"/>
      <c r="AP148" s="25"/>
      <c r="AQ148" s="25"/>
      <c r="AR148" s="25"/>
      <c r="AS148" s="25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  <c r="BF148" s="25"/>
      <c r="BG148" s="25"/>
      <c r="BH148" s="25"/>
      <c r="BI148" s="25"/>
      <c r="BJ148" s="25"/>
      <c r="BK148" s="25"/>
      <c r="BL148" s="25"/>
      <c r="BM148" s="25"/>
      <c r="BN148" s="25"/>
      <c r="BO148" s="25"/>
      <c r="BP148" s="25"/>
      <c r="BQ148" s="25"/>
      <c r="BR148" s="25"/>
      <c r="BS148" s="25"/>
      <c r="BT148" s="25"/>
      <c r="BU148" s="25"/>
      <c r="BV148" s="25"/>
      <c r="BW148" s="25"/>
      <c r="BX148" s="25"/>
      <c r="BY148" s="25"/>
      <c r="BZ148" s="25"/>
      <c r="CA148" s="25"/>
      <c r="CB148" s="25"/>
      <c r="CC148" s="25"/>
      <c r="CD148" s="25"/>
      <c r="CE148" s="25"/>
      <c r="CF148" s="25"/>
      <c r="CG148" s="25"/>
      <c r="CH148" s="25"/>
      <c r="CI148" s="25"/>
      <c r="CJ148" s="25"/>
      <c r="CK148" s="25"/>
      <c r="CL148" s="25"/>
      <c r="CM148" s="25"/>
      <c r="CN148" s="25"/>
      <c r="CO148" s="25"/>
      <c r="CP148" s="25"/>
      <c r="CQ148" s="25"/>
      <c r="CR148" s="25"/>
      <c r="CS148" s="25"/>
      <c r="CT148" s="25"/>
      <c r="CU148" s="25"/>
      <c r="CV148" s="25"/>
      <c r="CW148" s="25"/>
      <c r="CX148" s="25"/>
      <c r="CY148" s="25"/>
      <c r="CZ148" s="25"/>
      <c r="DA148" s="25"/>
      <c r="DB148" s="25"/>
      <c r="DC148" s="25"/>
      <c r="DD148" s="25"/>
      <c r="DE148" s="25"/>
      <c r="DF148" s="25"/>
      <c r="DG148" s="25"/>
      <c r="DH148" s="25"/>
      <c r="DI148" s="25"/>
      <c r="DJ148" s="25"/>
      <c r="DK148" s="25"/>
      <c r="DL148" s="25"/>
      <c r="DM148" s="25"/>
      <c r="DN148" s="25"/>
      <c r="DO148" s="25"/>
      <c r="DP148" s="25"/>
      <c r="DQ148" s="25"/>
    </row>
    <row r="149" spans="1:121" s="23" customFormat="1" ht="24.95" customHeight="1" x14ac:dyDescent="0.25">
      <c r="A149" s="898">
        <v>230</v>
      </c>
      <c r="B149" s="935">
        <v>2219</v>
      </c>
      <c r="C149" s="934">
        <v>6121</v>
      </c>
      <c r="D149" s="1233">
        <v>3186</v>
      </c>
      <c r="E149" s="1026" t="s">
        <v>442</v>
      </c>
      <c r="F149" s="1025" t="s">
        <v>145</v>
      </c>
      <c r="G149" s="111">
        <v>400</v>
      </c>
      <c r="H149" s="111">
        <v>2015</v>
      </c>
      <c r="I149" s="557">
        <v>2018</v>
      </c>
      <c r="J149" s="462">
        <f t="shared" si="30"/>
        <v>4828</v>
      </c>
      <c r="K149" s="463">
        <v>612</v>
      </c>
      <c r="L149" s="464">
        <v>3604</v>
      </c>
      <c r="M149" s="465">
        <f t="shared" si="31"/>
        <v>612</v>
      </c>
      <c r="N149" s="466">
        <v>612</v>
      </c>
      <c r="O149" s="475">
        <v>0</v>
      </c>
      <c r="P149" s="467">
        <v>0</v>
      </c>
      <c r="Q149" s="464">
        <v>0</v>
      </c>
      <c r="R149" s="469">
        <v>0</v>
      </c>
      <c r="S149" s="467">
        <v>0</v>
      </c>
      <c r="T149" s="464">
        <v>0</v>
      </c>
      <c r="U149" s="469">
        <v>0</v>
      </c>
      <c r="V149" s="467">
        <v>0</v>
      </c>
      <c r="W149" s="464">
        <v>0</v>
      </c>
      <c r="X149" s="469">
        <v>0</v>
      </c>
      <c r="Y149" s="467">
        <v>0</v>
      </c>
      <c r="Z149" s="468">
        <v>0</v>
      </c>
      <c r="AA149" s="478">
        <v>0</v>
      </c>
      <c r="AB149" s="32"/>
      <c r="AC149" s="1023"/>
      <c r="AD149" s="32"/>
      <c r="AE149" s="32"/>
      <c r="AF149" s="32"/>
      <c r="AG149" s="25"/>
      <c r="AH149" s="25"/>
      <c r="AI149" s="25"/>
      <c r="AJ149" s="25"/>
      <c r="AK149" s="25"/>
      <c r="AL149" s="25"/>
      <c r="AM149" s="25"/>
      <c r="AN149" s="25"/>
      <c r="AO149" s="25"/>
      <c r="AP149" s="25"/>
      <c r="AQ149" s="25"/>
      <c r="AR149" s="25"/>
      <c r="AS149" s="25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  <c r="BF149" s="25"/>
      <c r="BG149" s="25"/>
      <c r="BH149" s="25"/>
      <c r="BI149" s="25"/>
      <c r="BJ149" s="25"/>
      <c r="BK149" s="25"/>
      <c r="BL149" s="25"/>
      <c r="BM149" s="25"/>
      <c r="BN149" s="25"/>
      <c r="BO149" s="25"/>
      <c r="BP149" s="25"/>
      <c r="BQ149" s="25"/>
      <c r="BR149" s="25"/>
      <c r="BS149" s="25"/>
      <c r="BT149" s="25"/>
      <c r="BU149" s="25"/>
      <c r="BV149" s="25"/>
      <c r="BW149" s="25"/>
      <c r="BX149" s="25"/>
      <c r="BY149" s="25"/>
      <c r="BZ149" s="25"/>
      <c r="CA149" s="25"/>
      <c r="CB149" s="25"/>
      <c r="CC149" s="25"/>
      <c r="CD149" s="25"/>
      <c r="CE149" s="25"/>
      <c r="CF149" s="25"/>
      <c r="CG149" s="25"/>
      <c r="CH149" s="25"/>
      <c r="CI149" s="25"/>
      <c r="CJ149" s="25"/>
      <c r="CK149" s="25"/>
      <c r="CL149" s="25"/>
      <c r="CM149" s="25"/>
      <c r="CN149" s="25"/>
      <c r="CO149" s="25"/>
      <c r="CP149" s="25"/>
      <c r="CQ149" s="25"/>
      <c r="CR149" s="25"/>
      <c r="CS149" s="25"/>
      <c r="CT149" s="25"/>
      <c r="CU149" s="25"/>
      <c r="CV149" s="25"/>
      <c r="CW149" s="25"/>
      <c r="CX149" s="25"/>
      <c r="CY149" s="25"/>
      <c r="CZ149" s="25"/>
      <c r="DA149" s="25"/>
      <c r="DB149" s="25"/>
      <c r="DC149" s="25"/>
      <c r="DD149" s="25"/>
      <c r="DE149" s="25"/>
      <c r="DF149" s="25"/>
      <c r="DG149" s="25"/>
      <c r="DH149" s="25"/>
      <c r="DI149" s="25"/>
      <c r="DJ149" s="25"/>
      <c r="DK149" s="25"/>
      <c r="DL149" s="25"/>
      <c r="DM149" s="25"/>
      <c r="DN149" s="25"/>
      <c r="DO149" s="25"/>
      <c r="DP149" s="25"/>
      <c r="DQ149" s="25"/>
    </row>
    <row r="150" spans="1:121" s="23" customFormat="1" ht="24.95" customHeight="1" x14ac:dyDescent="0.25">
      <c r="A150" s="898">
        <v>230</v>
      </c>
      <c r="B150" s="935">
        <v>2219</v>
      </c>
      <c r="C150" s="934">
        <v>6121</v>
      </c>
      <c r="D150" s="1055">
        <v>3193</v>
      </c>
      <c r="E150" s="1007" t="s">
        <v>441</v>
      </c>
      <c r="F150" s="439" t="s">
        <v>123</v>
      </c>
      <c r="G150" s="440">
        <v>400</v>
      </c>
      <c r="H150" s="440">
        <v>2016</v>
      </c>
      <c r="I150" s="441">
        <v>2022</v>
      </c>
      <c r="J150" s="442">
        <f t="shared" si="30"/>
        <v>83532</v>
      </c>
      <c r="K150" s="443">
        <v>0</v>
      </c>
      <c r="L150" s="444">
        <v>1000</v>
      </c>
      <c r="M150" s="940">
        <f t="shared" si="31"/>
        <v>2532</v>
      </c>
      <c r="N150" s="446">
        <v>1532</v>
      </c>
      <c r="O150" s="447">
        <v>1000</v>
      </c>
      <c r="P150" s="448">
        <v>0</v>
      </c>
      <c r="Q150" s="444">
        <v>0</v>
      </c>
      <c r="R150" s="449">
        <v>10000</v>
      </c>
      <c r="S150" s="448">
        <v>0</v>
      </c>
      <c r="T150" s="444">
        <v>0</v>
      </c>
      <c r="U150" s="449">
        <v>50000</v>
      </c>
      <c r="V150" s="448">
        <v>0</v>
      </c>
      <c r="W150" s="444">
        <v>0</v>
      </c>
      <c r="X150" s="449">
        <v>20000</v>
      </c>
      <c r="Y150" s="448">
        <v>0</v>
      </c>
      <c r="Z150" s="492">
        <v>0</v>
      </c>
      <c r="AA150" s="493">
        <v>0</v>
      </c>
      <c r="AB150" s="32"/>
      <c r="AC150" s="1023"/>
      <c r="AD150" s="32"/>
      <c r="AE150" s="32"/>
      <c r="AF150" s="32"/>
      <c r="AG150" s="25"/>
      <c r="AH150" s="25"/>
      <c r="AI150" s="25"/>
      <c r="AJ150" s="25"/>
      <c r="AK150" s="25"/>
      <c r="AL150" s="25"/>
      <c r="AM150" s="25"/>
      <c r="AN150" s="25"/>
      <c r="AO150" s="25"/>
      <c r="AP150" s="25"/>
      <c r="AQ150" s="25"/>
      <c r="AR150" s="25"/>
      <c r="AS150" s="25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  <c r="BF150" s="25"/>
      <c r="BG150" s="25"/>
      <c r="BH150" s="25"/>
      <c r="BI150" s="25"/>
      <c r="BJ150" s="25"/>
      <c r="BK150" s="25"/>
      <c r="BL150" s="25"/>
      <c r="BM150" s="25"/>
      <c r="BN150" s="25"/>
      <c r="BO150" s="25"/>
      <c r="BP150" s="25"/>
      <c r="BQ150" s="25"/>
      <c r="BR150" s="25"/>
      <c r="BS150" s="25"/>
      <c r="BT150" s="25"/>
      <c r="BU150" s="25"/>
      <c r="BV150" s="25"/>
      <c r="BW150" s="25"/>
      <c r="BX150" s="25"/>
      <c r="BY150" s="25"/>
      <c r="BZ150" s="25"/>
      <c r="CA150" s="25"/>
      <c r="CB150" s="25"/>
      <c r="CC150" s="25"/>
      <c r="CD150" s="25"/>
      <c r="CE150" s="25"/>
      <c r="CF150" s="25"/>
      <c r="CG150" s="25"/>
      <c r="CH150" s="25"/>
      <c r="CI150" s="25"/>
      <c r="CJ150" s="25"/>
      <c r="CK150" s="25"/>
      <c r="CL150" s="25"/>
      <c r="CM150" s="25"/>
      <c r="CN150" s="25"/>
      <c r="CO150" s="25"/>
      <c r="CP150" s="25"/>
      <c r="CQ150" s="25"/>
      <c r="CR150" s="25"/>
      <c r="CS150" s="25"/>
      <c r="CT150" s="25"/>
      <c r="CU150" s="25"/>
      <c r="CV150" s="25"/>
      <c r="CW150" s="25"/>
      <c r="CX150" s="25"/>
      <c r="CY150" s="25"/>
      <c r="CZ150" s="25"/>
      <c r="DA150" s="25"/>
      <c r="DB150" s="25"/>
      <c r="DC150" s="25"/>
      <c r="DD150" s="25"/>
      <c r="DE150" s="25"/>
      <c r="DF150" s="25"/>
      <c r="DG150" s="25"/>
      <c r="DH150" s="25"/>
      <c r="DI150" s="25"/>
      <c r="DJ150" s="25"/>
      <c r="DK150" s="25"/>
      <c r="DL150" s="25"/>
      <c r="DM150" s="25"/>
      <c r="DN150" s="25"/>
      <c r="DO150" s="25"/>
      <c r="DP150" s="25"/>
      <c r="DQ150" s="25"/>
    </row>
    <row r="151" spans="1:121" s="23" customFormat="1" ht="24.95" customHeight="1" x14ac:dyDescent="0.25">
      <c r="A151" s="898">
        <v>230</v>
      </c>
      <c r="B151" s="935">
        <v>2219</v>
      </c>
      <c r="C151" s="934">
        <v>6121</v>
      </c>
      <c r="D151" s="1055">
        <v>3204</v>
      </c>
      <c r="E151" s="1222" t="s">
        <v>440</v>
      </c>
      <c r="F151" s="1025" t="s">
        <v>163</v>
      </c>
      <c r="G151" s="111">
        <v>400</v>
      </c>
      <c r="H151" s="111">
        <v>2016</v>
      </c>
      <c r="I151" s="557">
        <v>2020</v>
      </c>
      <c r="J151" s="462">
        <f t="shared" si="30"/>
        <v>749</v>
      </c>
      <c r="K151" s="463">
        <v>2</v>
      </c>
      <c r="L151" s="464">
        <v>0</v>
      </c>
      <c r="M151" s="465">
        <f t="shared" si="31"/>
        <v>147</v>
      </c>
      <c r="N151" s="466">
        <v>147</v>
      </c>
      <c r="O151" s="475">
        <v>0</v>
      </c>
      <c r="P151" s="467">
        <v>0</v>
      </c>
      <c r="Q151" s="464">
        <v>0</v>
      </c>
      <c r="R151" s="469">
        <v>600</v>
      </c>
      <c r="S151" s="467">
        <v>0</v>
      </c>
      <c r="T151" s="464">
        <v>0</v>
      </c>
      <c r="U151" s="469">
        <v>0</v>
      </c>
      <c r="V151" s="467">
        <v>0</v>
      </c>
      <c r="W151" s="464">
        <v>0</v>
      </c>
      <c r="X151" s="469">
        <v>0</v>
      </c>
      <c r="Y151" s="467">
        <v>0</v>
      </c>
      <c r="Z151" s="468">
        <v>0</v>
      </c>
      <c r="AA151" s="478">
        <v>0</v>
      </c>
      <c r="AB151" s="32"/>
      <c r="AC151" s="1023"/>
      <c r="AD151" s="32"/>
      <c r="AE151" s="32"/>
      <c r="AF151" s="32"/>
      <c r="AG151" s="25"/>
      <c r="AH151" s="25"/>
      <c r="AI151" s="25"/>
      <c r="AJ151" s="25"/>
      <c r="AK151" s="25"/>
      <c r="AL151" s="25"/>
      <c r="AM151" s="25"/>
      <c r="AN151" s="25"/>
      <c r="AO151" s="25"/>
      <c r="AP151" s="25"/>
      <c r="AQ151" s="25"/>
      <c r="AR151" s="25"/>
      <c r="AS151" s="25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  <c r="BF151" s="25"/>
      <c r="BG151" s="25"/>
      <c r="BH151" s="25"/>
      <c r="BI151" s="25"/>
      <c r="BJ151" s="25"/>
      <c r="BK151" s="25"/>
      <c r="BL151" s="25"/>
      <c r="BM151" s="25"/>
      <c r="BN151" s="25"/>
      <c r="BO151" s="25"/>
      <c r="BP151" s="25"/>
      <c r="BQ151" s="25"/>
      <c r="BR151" s="25"/>
      <c r="BS151" s="25"/>
      <c r="BT151" s="25"/>
      <c r="BU151" s="25"/>
      <c r="BV151" s="25"/>
      <c r="BW151" s="25"/>
      <c r="BX151" s="25"/>
      <c r="BY151" s="25"/>
      <c r="BZ151" s="25"/>
      <c r="CA151" s="25"/>
      <c r="CB151" s="25"/>
      <c r="CC151" s="25"/>
      <c r="CD151" s="25"/>
      <c r="CE151" s="25"/>
      <c r="CF151" s="25"/>
      <c r="CG151" s="25"/>
      <c r="CH151" s="25"/>
      <c r="CI151" s="25"/>
      <c r="CJ151" s="25"/>
      <c r="CK151" s="25"/>
      <c r="CL151" s="25"/>
      <c r="CM151" s="25"/>
      <c r="CN151" s="25"/>
      <c r="CO151" s="25"/>
      <c r="CP151" s="25"/>
      <c r="CQ151" s="25"/>
      <c r="CR151" s="25"/>
      <c r="CS151" s="25"/>
      <c r="CT151" s="25"/>
      <c r="CU151" s="25"/>
      <c r="CV151" s="25"/>
      <c r="CW151" s="25"/>
      <c r="CX151" s="25"/>
      <c r="CY151" s="25"/>
      <c r="CZ151" s="25"/>
      <c r="DA151" s="25"/>
      <c r="DB151" s="25"/>
      <c r="DC151" s="25"/>
      <c r="DD151" s="25"/>
      <c r="DE151" s="25"/>
      <c r="DF151" s="25"/>
      <c r="DG151" s="25"/>
      <c r="DH151" s="25"/>
      <c r="DI151" s="25"/>
      <c r="DJ151" s="25"/>
      <c r="DK151" s="25"/>
      <c r="DL151" s="25"/>
      <c r="DM151" s="25"/>
      <c r="DN151" s="25"/>
      <c r="DO151" s="25"/>
      <c r="DP151" s="25"/>
      <c r="DQ151" s="25"/>
    </row>
    <row r="152" spans="1:121" s="23" customFormat="1" ht="24.95" customHeight="1" x14ac:dyDescent="0.25">
      <c r="A152" s="898">
        <v>230</v>
      </c>
      <c r="B152" s="935">
        <v>2219</v>
      </c>
      <c r="C152" s="934">
        <v>6121</v>
      </c>
      <c r="D152" s="1233">
        <v>3210</v>
      </c>
      <c r="E152" s="1022" t="s">
        <v>439</v>
      </c>
      <c r="F152" s="1008" t="s">
        <v>127</v>
      </c>
      <c r="G152" s="111">
        <v>400</v>
      </c>
      <c r="H152" s="111">
        <v>2016</v>
      </c>
      <c r="I152" s="557">
        <v>2019</v>
      </c>
      <c r="J152" s="462">
        <f t="shared" si="30"/>
        <v>11819</v>
      </c>
      <c r="K152" s="463">
        <v>216</v>
      </c>
      <c r="L152" s="464">
        <v>4118</v>
      </c>
      <c r="M152" s="465">
        <f t="shared" si="31"/>
        <v>7485</v>
      </c>
      <c r="N152" s="466">
        <f>6435+50</f>
        <v>6485</v>
      </c>
      <c r="O152" s="475">
        <v>1000</v>
      </c>
      <c r="P152" s="467">
        <v>0</v>
      </c>
      <c r="Q152" s="464">
        <v>0</v>
      </c>
      <c r="R152" s="469">
        <v>0</v>
      </c>
      <c r="S152" s="467">
        <v>0</v>
      </c>
      <c r="T152" s="464">
        <v>0</v>
      </c>
      <c r="U152" s="469">
        <v>0</v>
      </c>
      <c r="V152" s="467">
        <v>0</v>
      </c>
      <c r="W152" s="464">
        <v>0</v>
      </c>
      <c r="X152" s="469">
        <v>0</v>
      </c>
      <c r="Y152" s="467">
        <v>0</v>
      </c>
      <c r="Z152" s="468">
        <v>0</v>
      </c>
      <c r="AA152" s="478">
        <v>0</v>
      </c>
      <c r="AB152" s="32"/>
      <c r="AC152" s="1023"/>
      <c r="AD152" s="32"/>
      <c r="AE152" s="32"/>
      <c r="AF152" s="32"/>
      <c r="AG152" s="25"/>
      <c r="AH152" s="25"/>
      <c r="AI152" s="25"/>
      <c r="AJ152" s="25"/>
      <c r="AK152" s="25"/>
      <c r="AL152" s="25"/>
      <c r="AM152" s="25"/>
      <c r="AN152" s="25"/>
      <c r="AO152" s="25"/>
      <c r="AP152" s="25"/>
      <c r="AQ152" s="25"/>
      <c r="AR152" s="25"/>
      <c r="AS152" s="25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  <c r="BF152" s="25"/>
      <c r="BG152" s="25"/>
      <c r="BH152" s="25"/>
      <c r="BI152" s="25"/>
      <c r="BJ152" s="25"/>
      <c r="BK152" s="25"/>
      <c r="BL152" s="25"/>
      <c r="BM152" s="25"/>
      <c r="BN152" s="25"/>
      <c r="BO152" s="25"/>
      <c r="BP152" s="25"/>
      <c r="BQ152" s="25"/>
      <c r="BR152" s="25"/>
      <c r="BS152" s="25"/>
      <c r="BT152" s="25"/>
      <c r="BU152" s="25"/>
      <c r="BV152" s="25"/>
      <c r="BW152" s="25"/>
      <c r="BX152" s="25"/>
      <c r="BY152" s="25"/>
      <c r="BZ152" s="25"/>
      <c r="CA152" s="25"/>
      <c r="CB152" s="25"/>
      <c r="CC152" s="25"/>
      <c r="CD152" s="25"/>
      <c r="CE152" s="25"/>
      <c r="CF152" s="25"/>
      <c r="CG152" s="25"/>
      <c r="CH152" s="25"/>
      <c r="CI152" s="25"/>
      <c r="CJ152" s="25"/>
      <c r="CK152" s="25"/>
      <c r="CL152" s="25"/>
      <c r="CM152" s="25"/>
      <c r="CN152" s="25"/>
      <c r="CO152" s="25"/>
      <c r="CP152" s="25"/>
      <c r="CQ152" s="25"/>
      <c r="CR152" s="25"/>
      <c r="CS152" s="25"/>
      <c r="CT152" s="25"/>
      <c r="CU152" s="25"/>
      <c r="CV152" s="25"/>
      <c r="CW152" s="25"/>
      <c r="CX152" s="25"/>
      <c r="CY152" s="25"/>
      <c r="CZ152" s="25"/>
      <c r="DA152" s="25"/>
      <c r="DB152" s="25"/>
      <c r="DC152" s="25"/>
      <c r="DD152" s="25"/>
      <c r="DE152" s="25"/>
      <c r="DF152" s="25"/>
      <c r="DG152" s="25"/>
      <c r="DH152" s="25"/>
      <c r="DI152" s="25"/>
      <c r="DJ152" s="25"/>
      <c r="DK152" s="25"/>
      <c r="DL152" s="25"/>
      <c r="DM152" s="25"/>
      <c r="DN152" s="25"/>
      <c r="DO152" s="25"/>
      <c r="DP152" s="25"/>
      <c r="DQ152" s="25"/>
    </row>
    <row r="153" spans="1:121" s="31" customFormat="1" ht="24.95" customHeight="1" x14ac:dyDescent="0.25">
      <c r="A153" s="898">
        <v>230</v>
      </c>
      <c r="B153" s="1021">
        <v>2219</v>
      </c>
      <c r="C153" s="1020">
        <v>6121</v>
      </c>
      <c r="D153" s="1055">
        <v>3212</v>
      </c>
      <c r="E153" s="1024" t="s">
        <v>438</v>
      </c>
      <c r="F153" s="482" t="s">
        <v>157</v>
      </c>
      <c r="G153" s="483">
        <v>400</v>
      </c>
      <c r="H153" s="483">
        <v>2015</v>
      </c>
      <c r="I153" s="484">
        <v>2019</v>
      </c>
      <c r="J153" s="462">
        <f t="shared" si="30"/>
        <v>3718</v>
      </c>
      <c r="K153" s="463">
        <v>48</v>
      </c>
      <c r="L153" s="464">
        <v>170</v>
      </c>
      <c r="M153" s="465">
        <f t="shared" si="31"/>
        <v>3500</v>
      </c>
      <c r="N153" s="466">
        <v>2068</v>
      </c>
      <c r="O153" s="475">
        <v>1432</v>
      </c>
      <c r="P153" s="467">
        <v>0</v>
      </c>
      <c r="Q153" s="464">
        <v>0</v>
      </c>
      <c r="R153" s="469">
        <v>0</v>
      </c>
      <c r="S153" s="467">
        <v>0</v>
      </c>
      <c r="T153" s="464">
        <v>0</v>
      </c>
      <c r="U153" s="469">
        <v>0</v>
      </c>
      <c r="V153" s="467">
        <v>0</v>
      </c>
      <c r="W153" s="464">
        <v>0</v>
      </c>
      <c r="X153" s="469">
        <v>0</v>
      </c>
      <c r="Y153" s="467">
        <v>0</v>
      </c>
      <c r="Z153" s="468">
        <v>0</v>
      </c>
      <c r="AA153" s="478">
        <v>0</v>
      </c>
      <c r="AB153" s="32"/>
      <c r="AC153" s="1023"/>
      <c r="AD153" s="32"/>
      <c r="AE153" s="32"/>
      <c r="AF153" s="32"/>
      <c r="AG153" s="25"/>
      <c r="AH153" s="25"/>
      <c r="AI153" s="25"/>
      <c r="AJ153" s="25"/>
      <c r="AK153" s="25"/>
      <c r="AL153" s="25"/>
      <c r="AM153" s="25"/>
      <c r="AN153" s="25"/>
      <c r="AO153" s="25"/>
      <c r="AP153" s="25"/>
      <c r="AQ153" s="25"/>
      <c r="AR153" s="25"/>
      <c r="AS153" s="25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  <c r="BF153" s="25"/>
      <c r="BG153" s="25"/>
      <c r="BH153" s="25"/>
      <c r="BI153" s="25"/>
      <c r="BJ153" s="25"/>
      <c r="BK153" s="25"/>
      <c r="BL153" s="25"/>
      <c r="BM153" s="25"/>
      <c r="BN153" s="25"/>
      <c r="BO153" s="25"/>
      <c r="BP153" s="25"/>
      <c r="BQ153" s="25"/>
      <c r="BR153" s="25"/>
      <c r="BS153" s="25"/>
      <c r="BT153" s="25"/>
      <c r="BU153" s="25"/>
      <c r="BV153" s="25"/>
      <c r="BW153" s="25"/>
      <c r="BX153" s="25"/>
      <c r="BY153" s="25"/>
      <c r="BZ153" s="25"/>
      <c r="CA153" s="25"/>
      <c r="CB153" s="25"/>
      <c r="CC153" s="25"/>
      <c r="CD153" s="25"/>
      <c r="CE153" s="25"/>
      <c r="CF153" s="25"/>
      <c r="CG153" s="25"/>
      <c r="CH153" s="25"/>
      <c r="CI153" s="25"/>
      <c r="CJ153" s="25"/>
      <c r="CK153" s="25"/>
      <c r="CL153" s="25"/>
      <c r="CM153" s="25"/>
      <c r="CN153" s="25"/>
      <c r="CO153" s="25"/>
      <c r="CP153" s="25"/>
      <c r="CQ153" s="25"/>
      <c r="CR153" s="25"/>
      <c r="CS153" s="25"/>
      <c r="CT153" s="25"/>
      <c r="CU153" s="25"/>
      <c r="CV153" s="25"/>
      <c r="CW153" s="25"/>
      <c r="CX153" s="25"/>
      <c r="CY153" s="25"/>
      <c r="CZ153" s="25"/>
      <c r="DA153" s="25"/>
      <c r="DB153" s="25"/>
      <c r="DC153" s="25"/>
      <c r="DD153" s="25"/>
      <c r="DE153" s="25"/>
      <c r="DF153" s="25"/>
      <c r="DG153" s="25"/>
      <c r="DH153" s="25"/>
      <c r="DI153" s="25"/>
      <c r="DJ153" s="25"/>
      <c r="DK153" s="25"/>
      <c r="DL153" s="25"/>
      <c r="DM153" s="25"/>
      <c r="DN153" s="25"/>
      <c r="DO153" s="25"/>
      <c r="DP153" s="25"/>
      <c r="DQ153" s="25"/>
    </row>
    <row r="154" spans="1:121" s="31" customFormat="1" ht="24.95" customHeight="1" x14ac:dyDescent="0.25">
      <c r="A154" s="898">
        <v>230</v>
      </c>
      <c r="B154" s="935">
        <v>2219</v>
      </c>
      <c r="C154" s="934">
        <v>6121</v>
      </c>
      <c r="D154" s="1231">
        <v>3215</v>
      </c>
      <c r="E154" s="511" t="s">
        <v>437</v>
      </c>
      <c r="F154" s="1008" t="s">
        <v>127</v>
      </c>
      <c r="G154" s="111">
        <v>400</v>
      </c>
      <c r="H154" s="111">
        <v>2017</v>
      </c>
      <c r="I154" s="557">
        <v>2022</v>
      </c>
      <c r="J154" s="462">
        <f t="shared" si="30"/>
        <v>45500</v>
      </c>
      <c r="K154" s="463">
        <v>0</v>
      </c>
      <c r="L154" s="464">
        <v>0</v>
      </c>
      <c r="M154" s="465">
        <f t="shared" si="31"/>
        <v>500</v>
      </c>
      <c r="N154" s="466">
        <v>500</v>
      </c>
      <c r="O154" s="475">
        <v>0</v>
      </c>
      <c r="P154" s="467">
        <v>0</v>
      </c>
      <c r="Q154" s="464">
        <v>0</v>
      </c>
      <c r="R154" s="469">
        <v>0</v>
      </c>
      <c r="S154" s="467">
        <v>0</v>
      </c>
      <c r="T154" s="464">
        <v>0</v>
      </c>
      <c r="U154" s="469">
        <v>20000</v>
      </c>
      <c r="V154" s="467">
        <v>0</v>
      </c>
      <c r="W154" s="464">
        <v>0</v>
      </c>
      <c r="X154" s="469">
        <v>25000</v>
      </c>
      <c r="Y154" s="467">
        <v>0</v>
      </c>
      <c r="Z154" s="468">
        <v>0</v>
      </c>
      <c r="AA154" s="478">
        <v>0</v>
      </c>
      <c r="AB154" s="25"/>
      <c r="AC154" s="25"/>
      <c r="AD154" s="25"/>
      <c r="AE154" s="25"/>
      <c r="AF154" s="25"/>
      <c r="AG154" s="25"/>
      <c r="AH154" s="25"/>
      <c r="AI154" s="25"/>
      <c r="AJ154" s="25"/>
      <c r="AK154" s="25"/>
      <c r="AL154" s="25"/>
      <c r="AM154" s="25"/>
      <c r="AN154" s="25"/>
      <c r="AO154" s="25"/>
      <c r="AP154" s="25"/>
      <c r="AQ154" s="25"/>
      <c r="AR154" s="25"/>
      <c r="AS154" s="25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  <c r="BF154" s="25"/>
      <c r="BG154" s="25"/>
      <c r="BH154" s="25"/>
      <c r="BI154" s="25"/>
      <c r="BJ154" s="25"/>
      <c r="BK154" s="25"/>
      <c r="BL154" s="25"/>
      <c r="BM154" s="25"/>
      <c r="BN154" s="25"/>
      <c r="BO154" s="25"/>
      <c r="BP154" s="25"/>
      <c r="BQ154" s="25"/>
      <c r="BR154" s="25"/>
      <c r="BS154" s="25"/>
      <c r="BT154" s="25"/>
      <c r="BU154" s="25"/>
      <c r="BV154" s="25"/>
      <c r="BW154" s="25"/>
      <c r="BX154" s="25"/>
      <c r="BY154" s="25"/>
      <c r="BZ154" s="25"/>
      <c r="CA154" s="25"/>
      <c r="CB154" s="25"/>
      <c r="CC154" s="25"/>
      <c r="CD154" s="25"/>
      <c r="CE154" s="25"/>
      <c r="CF154" s="25"/>
      <c r="CG154" s="25"/>
      <c r="CH154" s="25"/>
      <c r="CI154" s="25"/>
      <c r="CJ154" s="25"/>
      <c r="CK154" s="25"/>
      <c r="CL154" s="25"/>
      <c r="CM154" s="25"/>
      <c r="CN154" s="25"/>
      <c r="CO154" s="25"/>
      <c r="CP154" s="25"/>
      <c r="CQ154" s="25"/>
      <c r="CR154" s="25"/>
      <c r="CS154" s="25"/>
      <c r="CT154" s="25"/>
      <c r="CU154" s="25"/>
      <c r="CV154" s="25"/>
      <c r="CW154" s="25"/>
      <c r="CX154" s="25"/>
      <c r="CY154" s="25"/>
      <c r="CZ154" s="25"/>
      <c r="DA154" s="25"/>
      <c r="DB154" s="25"/>
      <c r="DC154" s="25"/>
      <c r="DD154" s="25"/>
      <c r="DE154" s="25"/>
      <c r="DF154" s="25"/>
      <c r="DG154" s="25"/>
      <c r="DH154" s="25"/>
      <c r="DI154" s="25"/>
      <c r="DJ154" s="25"/>
      <c r="DK154" s="25"/>
      <c r="DL154" s="25"/>
      <c r="DM154" s="25"/>
      <c r="DN154" s="25"/>
      <c r="DO154" s="25"/>
      <c r="DP154" s="25"/>
      <c r="DQ154" s="25"/>
    </row>
    <row r="155" spans="1:121" s="31" customFormat="1" ht="24.95" customHeight="1" x14ac:dyDescent="0.25">
      <c r="A155" s="898">
        <v>230</v>
      </c>
      <c r="B155" s="1015">
        <v>2219</v>
      </c>
      <c r="C155" s="1014">
        <v>6121</v>
      </c>
      <c r="D155" s="1233">
        <v>3218</v>
      </c>
      <c r="E155" s="1022" t="s">
        <v>436</v>
      </c>
      <c r="F155" s="110" t="s">
        <v>123</v>
      </c>
      <c r="G155" s="111">
        <v>400</v>
      </c>
      <c r="H155" s="979">
        <v>2016</v>
      </c>
      <c r="I155" s="978">
        <v>2019</v>
      </c>
      <c r="J155" s="462">
        <f t="shared" si="30"/>
        <v>31684</v>
      </c>
      <c r="K155" s="463">
        <v>142</v>
      </c>
      <c r="L155" s="464">
        <v>6300</v>
      </c>
      <c r="M155" s="465">
        <f t="shared" si="31"/>
        <v>25242</v>
      </c>
      <c r="N155" s="466">
        <v>10742</v>
      </c>
      <c r="O155" s="475">
        <v>14500</v>
      </c>
      <c r="P155" s="467">
        <v>0</v>
      </c>
      <c r="Q155" s="464">
        <v>0</v>
      </c>
      <c r="R155" s="469">
        <v>0</v>
      </c>
      <c r="S155" s="467">
        <v>0</v>
      </c>
      <c r="T155" s="464">
        <v>0</v>
      </c>
      <c r="U155" s="469">
        <v>0</v>
      </c>
      <c r="V155" s="467">
        <v>0</v>
      </c>
      <c r="W155" s="464">
        <v>0</v>
      </c>
      <c r="X155" s="469">
        <v>0</v>
      </c>
      <c r="Y155" s="467">
        <v>0</v>
      </c>
      <c r="Z155" s="468">
        <v>0</v>
      </c>
      <c r="AA155" s="478">
        <v>0</v>
      </c>
      <c r="AB155" s="25"/>
      <c r="AC155" s="25"/>
      <c r="AD155" s="25"/>
      <c r="AE155" s="25"/>
      <c r="AF155" s="25"/>
      <c r="AG155" s="25"/>
      <c r="AH155" s="25"/>
      <c r="AI155" s="25"/>
      <c r="AJ155" s="25"/>
      <c r="AK155" s="25"/>
      <c r="AL155" s="25"/>
      <c r="AM155" s="25"/>
      <c r="AN155" s="25"/>
      <c r="AO155" s="25"/>
      <c r="AP155" s="25"/>
      <c r="AQ155" s="25"/>
      <c r="AR155" s="25"/>
      <c r="AS155" s="25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  <c r="BF155" s="25"/>
      <c r="BG155" s="25"/>
      <c r="BH155" s="25"/>
      <c r="BI155" s="25"/>
      <c r="BJ155" s="25"/>
      <c r="BK155" s="25"/>
      <c r="BL155" s="25"/>
      <c r="BM155" s="25"/>
      <c r="BN155" s="25"/>
      <c r="BO155" s="25"/>
      <c r="BP155" s="25"/>
      <c r="BQ155" s="25"/>
      <c r="BR155" s="25"/>
      <c r="BS155" s="25"/>
      <c r="BT155" s="25"/>
      <c r="BU155" s="25"/>
      <c r="BV155" s="25"/>
      <c r="BW155" s="25"/>
      <c r="BX155" s="25"/>
      <c r="BY155" s="25"/>
      <c r="BZ155" s="25"/>
      <c r="CA155" s="25"/>
      <c r="CB155" s="25"/>
      <c r="CC155" s="25"/>
      <c r="CD155" s="25"/>
      <c r="CE155" s="25"/>
      <c r="CF155" s="25"/>
      <c r="CG155" s="25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25"/>
      <c r="CT155" s="25"/>
      <c r="CU155" s="25"/>
      <c r="CV155" s="25"/>
      <c r="CW155" s="25"/>
      <c r="CX155" s="25"/>
      <c r="CY155" s="25"/>
      <c r="CZ155" s="25"/>
      <c r="DA155" s="25"/>
      <c r="DB155" s="25"/>
      <c r="DC155" s="25"/>
      <c r="DD155" s="25"/>
      <c r="DE155" s="25"/>
      <c r="DF155" s="25"/>
      <c r="DG155" s="25"/>
      <c r="DH155" s="25"/>
      <c r="DI155" s="25"/>
      <c r="DJ155" s="25"/>
      <c r="DK155" s="25"/>
      <c r="DL155" s="25"/>
      <c r="DM155" s="25"/>
      <c r="DN155" s="25"/>
      <c r="DO155" s="25"/>
      <c r="DP155" s="25"/>
      <c r="DQ155" s="25"/>
    </row>
    <row r="156" spans="1:121" s="31" customFormat="1" ht="24.95" customHeight="1" x14ac:dyDescent="0.25">
      <c r="A156" s="898">
        <v>230</v>
      </c>
      <c r="B156" s="1021">
        <v>2219</v>
      </c>
      <c r="C156" s="1020">
        <v>6121</v>
      </c>
      <c r="D156" s="1055">
        <v>3220</v>
      </c>
      <c r="E156" s="1019" t="s">
        <v>435</v>
      </c>
      <c r="F156" s="482" t="s">
        <v>127</v>
      </c>
      <c r="G156" s="483">
        <v>400</v>
      </c>
      <c r="H156" s="483">
        <v>2017</v>
      </c>
      <c r="I156" s="484">
        <v>2022</v>
      </c>
      <c r="J156" s="462">
        <f t="shared" si="30"/>
        <v>28600</v>
      </c>
      <c r="K156" s="463">
        <v>253</v>
      </c>
      <c r="L156" s="464">
        <v>347</v>
      </c>
      <c r="M156" s="465">
        <f t="shared" si="31"/>
        <v>2600</v>
      </c>
      <c r="N156" s="466">
        <v>600</v>
      </c>
      <c r="O156" s="475">
        <f>30000-25000-3000</f>
        <v>2000</v>
      </c>
      <c r="P156" s="467">
        <v>0</v>
      </c>
      <c r="Q156" s="464">
        <v>0</v>
      </c>
      <c r="R156" s="469">
        <v>25400</v>
      </c>
      <c r="S156" s="467">
        <v>0</v>
      </c>
      <c r="T156" s="464">
        <v>0</v>
      </c>
      <c r="U156" s="469">
        <v>0</v>
      </c>
      <c r="V156" s="467">
        <v>0</v>
      </c>
      <c r="W156" s="464">
        <v>0</v>
      </c>
      <c r="X156" s="469">
        <v>0</v>
      </c>
      <c r="Y156" s="467">
        <v>0</v>
      </c>
      <c r="Z156" s="468">
        <v>0</v>
      </c>
      <c r="AA156" s="478">
        <v>0</v>
      </c>
      <c r="AB156" s="25"/>
      <c r="AC156" s="25"/>
      <c r="AD156" s="25"/>
      <c r="AE156" s="25"/>
      <c r="AF156" s="25"/>
      <c r="AG156" s="25"/>
      <c r="AH156" s="25"/>
      <c r="AI156" s="25"/>
      <c r="AJ156" s="25"/>
      <c r="AK156" s="25"/>
      <c r="AL156" s="25"/>
      <c r="AM156" s="25"/>
      <c r="AN156" s="25"/>
      <c r="AO156" s="25"/>
      <c r="AP156" s="25"/>
      <c r="AQ156" s="25"/>
      <c r="AR156" s="25"/>
      <c r="AS156" s="25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  <c r="BF156" s="25"/>
      <c r="BG156" s="25"/>
      <c r="BH156" s="25"/>
      <c r="BI156" s="25"/>
      <c r="BJ156" s="25"/>
      <c r="BK156" s="25"/>
      <c r="BL156" s="25"/>
      <c r="BM156" s="25"/>
      <c r="BN156" s="25"/>
      <c r="BO156" s="25"/>
      <c r="BP156" s="25"/>
      <c r="BQ156" s="25"/>
      <c r="BR156" s="25"/>
      <c r="BS156" s="25"/>
      <c r="BT156" s="25"/>
      <c r="BU156" s="25"/>
      <c r="BV156" s="25"/>
      <c r="BW156" s="25"/>
      <c r="BX156" s="25"/>
      <c r="BY156" s="25"/>
      <c r="BZ156" s="25"/>
      <c r="CA156" s="25"/>
      <c r="CB156" s="25"/>
      <c r="CC156" s="25"/>
      <c r="CD156" s="25"/>
      <c r="CE156" s="25"/>
      <c r="CF156" s="25"/>
      <c r="CG156" s="25"/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25"/>
      <c r="CT156" s="25"/>
      <c r="CU156" s="25"/>
      <c r="CV156" s="25"/>
      <c r="CW156" s="25"/>
      <c r="CX156" s="25"/>
      <c r="CY156" s="25"/>
      <c r="CZ156" s="25"/>
      <c r="DA156" s="25"/>
      <c r="DB156" s="25"/>
      <c r="DC156" s="25"/>
      <c r="DD156" s="25"/>
      <c r="DE156" s="25"/>
      <c r="DF156" s="25"/>
      <c r="DG156" s="25"/>
      <c r="DH156" s="25"/>
      <c r="DI156" s="25"/>
      <c r="DJ156" s="25"/>
      <c r="DK156" s="25"/>
      <c r="DL156" s="25"/>
      <c r="DM156" s="25"/>
      <c r="DN156" s="25"/>
      <c r="DO156" s="25"/>
      <c r="DP156" s="25"/>
      <c r="DQ156" s="25"/>
    </row>
    <row r="157" spans="1:121" s="23" customFormat="1" ht="24.95" customHeight="1" x14ac:dyDescent="0.25">
      <c r="A157" s="898">
        <v>230</v>
      </c>
      <c r="B157" s="935">
        <v>2219</v>
      </c>
      <c r="C157" s="934">
        <v>6121</v>
      </c>
      <c r="D157" s="1055">
        <v>3223</v>
      </c>
      <c r="E157" s="1013" t="s">
        <v>434</v>
      </c>
      <c r="F157" s="1008"/>
      <c r="G157" s="111">
        <v>400</v>
      </c>
      <c r="H157" s="111">
        <v>2017</v>
      </c>
      <c r="I157" s="557">
        <v>2019</v>
      </c>
      <c r="J157" s="462">
        <f t="shared" si="30"/>
        <v>9399</v>
      </c>
      <c r="K157" s="463">
        <v>236</v>
      </c>
      <c r="L157" s="464">
        <v>100</v>
      </c>
      <c r="M157" s="465">
        <f t="shared" si="31"/>
        <v>9063</v>
      </c>
      <c r="N157" s="466">
        <v>263</v>
      </c>
      <c r="O157" s="475">
        <v>8800</v>
      </c>
      <c r="P157" s="467">
        <v>0</v>
      </c>
      <c r="Q157" s="464">
        <v>0</v>
      </c>
      <c r="R157" s="469">
        <v>0</v>
      </c>
      <c r="S157" s="467">
        <v>0</v>
      </c>
      <c r="T157" s="464">
        <v>0</v>
      </c>
      <c r="U157" s="469">
        <v>0</v>
      </c>
      <c r="V157" s="467">
        <v>0</v>
      </c>
      <c r="W157" s="464">
        <v>0</v>
      </c>
      <c r="X157" s="469">
        <v>0</v>
      </c>
      <c r="Y157" s="467">
        <v>0</v>
      </c>
      <c r="Z157" s="468">
        <v>0</v>
      </c>
      <c r="AA157" s="478">
        <v>0</v>
      </c>
      <c r="AB157" s="25"/>
      <c r="AC157" s="25"/>
      <c r="AD157" s="25"/>
      <c r="AE157" s="25"/>
      <c r="AF157" s="25"/>
      <c r="AG157" s="25"/>
      <c r="AH157" s="25"/>
      <c r="AI157" s="25"/>
      <c r="AJ157" s="25"/>
      <c r="AK157" s="25"/>
      <c r="AL157" s="25"/>
      <c r="AM157" s="25"/>
      <c r="AN157" s="25"/>
      <c r="AO157" s="25"/>
      <c r="AP157" s="25"/>
      <c r="AQ157" s="25"/>
      <c r="AR157" s="25"/>
      <c r="AS157" s="25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  <c r="BF157" s="25"/>
      <c r="BG157" s="25"/>
      <c r="BH157" s="25"/>
      <c r="BI157" s="25"/>
      <c r="BJ157" s="25"/>
      <c r="BK157" s="25"/>
      <c r="BL157" s="25"/>
      <c r="BM157" s="25"/>
      <c r="BN157" s="25"/>
      <c r="BO157" s="25"/>
      <c r="BP157" s="25"/>
      <c r="BQ157" s="25"/>
      <c r="BR157" s="25"/>
      <c r="BS157" s="25"/>
      <c r="BT157" s="25"/>
      <c r="BU157" s="25"/>
      <c r="BV157" s="25"/>
      <c r="BW157" s="25"/>
      <c r="BX157" s="25"/>
      <c r="BY157" s="25"/>
      <c r="BZ157" s="25"/>
      <c r="CA157" s="25"/>
      <c r="CB157" s="25"/>
      <c r="CC157" s="25"/>
      <c r="CD157" s="25"/>
      <c r="CE157" s="25"/>
      <c r="CF157" s="25"/>
      <c r="CG157" s="25"/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25"/>
      <c r="CT157" s="25"/>
      <c r="CU157" s="25"/>
      <c r="CV157" s="25"/>
      <c r="CW157" s="25"/>
      <c r="CX157" s="25"/>
      <c r="CY157" s="25"/>
      <c r="CZ157" s="25"/>
      <c r="DA157" s="25"/>
      <c r="DB157" s="25"/>
      <c r="DC157" s="25"/>
      <c r="DD157" s="25"/>
      <c r="DE157" s="25"/>
      <c r="DF157" s="25"/>
      <c r="DG157" s="25"/>
      <c r="DH157" s="25"/>
      <c r="DI157" s="25"/>
      <c r="DJ157" s="25"/>
      <c r="DK157" s="25"/>
      <c r="DL157" s="25"/>
      <c r="DM157" s="25"/>
      <c r="DN157" s="25"/>
      <c r="DO157" s="25"/>
      <c r="DP157" s="25"/>
      <c r="DQ157" s="25"/>
    </row>
    <row r="158" spans="1:121" s="31" customFormat="1" ht="24.95" customHeight="1" x14ac:dyDescent="0.25">
      <c r="A158" s="898">
        <v>230</v>
      </c>
      <c r="B158" s="666">
        <v>2219</v>
      </c>
      <c r="C158" s="667">
        <v>6121</v>
      </c>
      <c r="D158" s="1055">
        <v>3226</v>
      </c>
      <c r="E158" s="438" t="s">
        <v>433</v>
      </c>
      <c r="F158" s="110" t="s">
        <v>127</v>
      </c>
      <c r="G158" s="111">
        <v>400</v>
      </c>
      <c r="H158" s="111">
        <v>2017</v>
      </c>
      <c r="I158" s="112">
        <v>2021</v>
      </c>
      <c r="J158" s="462">
        <f t="shared" si="30"/>
        <v>134900</v>
      </c>
      <c r="K158" s="463">
        <v>0</v>
      </c>
      <c r="L158" s="464">
        <v>842</v>
      </c>
      <c r="M158" s="465">
        <f t="shared" si="31"/>
        <v>2058</v>
      </c>
      <c r="N158" s="466">
        <v>2058</v>
      </c>
      <c r="O158" s="475">
        <v>0</v>
      </c>
      <c r="P158" s="467">
        <v>0</v>
      </c>
      <c r="Q158" s="464">
        <v>0</v>
      </c>
      <c r="R158" s="469">
        <v>12000</v>
      </c>
      <c r="S158" s="467">
        <v>0</v>
      </c>
      <c r="T158" s="464">
        <v>0</v>
      </c>
      <c r="U158" s="469">
        <v>80000</v>
      </c>
      <c r="V158" s="467">
        <v>0</v>
      </c>
      <c r="W158" s="464">
        <v>0</v>
      </c>
      <c r="X158" s="469">
        <v>40000</v>
      </c>
      <c r="Y158" s="467">
        <v>0</v>
      </c>
      <c r="Z158" s="468">
        <v>0</v>
      </c>
      <c r="AA158" s="478">
        <v>0</v>
      </c>
      <c r="AB158" s="25"/>
      <c r="AC158" s="25"/>
      <c r="AD158" s="25"/>
      <c r="AE158" s="25"/>
      <c r="AF158" s="25"/>
      <c r="AG158" s="25"/>
      <c r="AH158" s="25"/>
      <c r="AI158" s="25"/>
      <c r="AJ158" s="25"/>
      <c r="AK158" s="25"/>
      <c r="AL158" s="25"/>
      <c r="AM158" s="25"/>
      <c r="AN158" s="25"/>
      <c r="AO158" s="25"/>
      <c r="AP158" s="25"/>
      <c r="AQ158" s="25"/>
      <c r="AR158" s="25"/>
      <c r="AS158" s="25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  <c r="BF158" s="25"/>
      <c r="BG158" s="25"/>
      <c r="BH158" s="25"/>
      <c r="BI158" s="25"/>
      <c r="BJ158" s="25"/>
      <c r="BK158" s="25"/>
      <c r="BL158" s="25"/>
      <c r="BM158" s="25"/>
      <c r="BN158" s="25"/>
      <c r="BO158" s="25"/>
      <c r="BP158" s="25"/>
      <c r="BQ158" s="25"/>
      <c r="BR158" s="25"/>
      <c r="BS158" s="25"/>
      <c r="BT158" s="25"/>
      <c r="BU158" s="25"/>
      <c r="BV158" s="25"/>
      <c r="BW158" s="25"/>
      <c r="BX158" s="25"/>
      <c r="BY158" s="25"/>
      <c r="BZ158" s="25"/>
      <c r="CA158" s="25"/>
      <c r="CB158" s="25"/>
      <c r="CC158" s="25"/>
      <c r="CD158" s="25"/>
      <c r="CE158" s="25"/>
      <c r="CF158" s="25"/>
      <c r="CG158" s="25"/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25"/>
      <c r="CT158" s="25"/>
      <c r="CU158" s="25"/>
      <c r="CV158" s="25"/>
      <c r="CW158" s="25"/>
      <c r="CX158" s="25"/>
      <c r="CY158" s="25"/>
      <c r="CZ158" s="25"/>
      <c r="DA158" s="25"/>
      <c r="DB158" s="25"/>
      <c r="DC158" s="25"/>
      <c r="DD158" s="25"/>
      <c r="DE158" s="25"/>
      <c r="DF158" s="25"/>
      <c r="DG158" s="25"/>
      <c r="DH158" s="25"/>
      <c r="DI158" s="25"/>
      <c r="DJ158" s="25"/>
      <c r="DK158" s="25"/>
      <c r="DL158" s="25"/>
      <c r="DM158" s="25"/>
      <c r="DN158" s="25"/>
      <c r="DO158" s="25"/>
      <c r="DP158" s="25"/>
      <c r="DQ158" s="25"/>
    </row>
    <row r="159" spans="1:121" s="479" customFormat="1" ht="24.95" customHeight="1" x14ac:dyDescent="0.25">
      <c r="A159" s="600">
        <v>230</v>
      </c>
      <c r="B159" s="907">
        <v>2219</v>
      </c>
      <c r="C159" s="906">
        <v>6121</v>
      </c>
      <c r="D159" s="1231">
        <v>3227</v>
      </c>
      <c r="E159" s="1018" t="s">
        <v>432</v>
      </c>
      <c r="F159" s="110" t="s">
        <v>117</v>
      </c>
      <c r="G159" s="931">
        <v>400</v>
      </c>
      <c r="H159" s="930">
        <v>2017</v>
      </c>
      <c r="I159" s="930">
        <v>2021</v>
      </c>
      <c r="J159" s="462">
        <f t="shared" si="30"/>
        <v>72348</v>
      </c>
      <c r="K159" s="463">
        <v>0</v>
      </c>
      <c r="L159" s="464">
        <v>452</v>
      </c>
      <c r="M159" s="465">
        <f t="shared" si="31"/>
        <v>548</v>
      </c>
      <c r="N159" s="466">
        <v>548</v>
      </c>
      <c r="O159" s="475">
        <f>2952-2952</f>
        <v>0</v>
      </c>
      <c r="P159" s="467">
        <v>0</v>
      </c>
      <c r="Q159" s="464">
        <v>0</v>
      </c>
      <c r="R159" s="469">
        <f>36648-36648</f>
        <v>0</v>
      </c>
      <c r="S159" s="467">
        <v>0</v>
      </c>
      <c r="T159" s="468">
        <v>0</v>
      </c>
      <c r="U159" s="722">
        <v>35000</v>
      </c>
      <c r="V159" s="467">
        <v>0</v>
      </c>
      <c r="W159" s="464">
        <v>0</v>
      </c>
      <c r="X159" s="723">
        <v>36348</v>
      </c>
      <c r="Y159" s="467">
        <v>0</v>
      </c>
      <c r="Z159" s="608">
        <v>0</v>
      </c>
      <c r="AA159" s="478">
        <v>0</v>
      </c>
      <c r="AB159" s="480"/>
      <c r="AC159" s="480"/>
      <c r="AD159" s="480"/>
      <c r="AE159" s="480"/>
      <c r="AF159" s="480"/>
      <c r="AG159" s="480"/>
      <c r="AH159" s="480"/>
      <c r="AI159" s="480"/>
      <c r="AJ159" s="480"/>
      <c r="AK159" s="480"/>
      <c r="AL159" s="480"/>
      <c r="AM159" s="480"/>
      <c r="AN159" s="480"/>
      <c r="AO159" s="480"/>
      <c r="AP159" s="480"/>
      <c r="AQ159" s="480"/>
      <c r="AR159" s="480"/>
      <c r="AS159" s="480"/>
      <c r="AT159" s="480"/>
      <c r="AU159" s="480"/>
      <c r="AV159" s="480"/>
      <c r="AW159" s="480"/>
      <c r="AX159" s="480"/>
      <c r="AY159" s="480"/>
      <c r="AZ159" s="480"/>
      <c r="BA159" s="480"/>
      <c r="BB159" s="480"/>
      <c r="BC159" s="480"/>
      <c r="BD159" s="480"/>
      <c r="BE159" s="480"/>
      <c r="BF159" s="480"/>
      <c r="BG159" s="480"/>
      <c r="BH159" s="480"/>
      <c r="BI159" s="480"/>
      <c r="BJ159" s="480"/>
      <c r="BK159" s="480"/>
      <c r="BL159" s="480"/>
      <c r="BM159" s="480"/>
      <c r="BN159" s="480"/>
      <c r="BO159" s="480"/>
      <c r="BP159" s="480"/>
      <c r="BQ159" s="480"/>
      <c r="BR159" s="480"/>
      <c r="BS159" s="480"/>
      <c r="BT159" s="480"/>
      <c r="BU159" s="480"/>
      <c r="BV159" s="480"/>
      <c r="BW159" s="480"/>
      <c r="BX159" s="480"/>
      <c r="BY159" s="480"/>
      <c r="BZ159" s="480"/>
      <c r="CA159" s="480"/>
      <c r="CB159" s="480"/>
      <c r="CC159" s="480"/>
      <c r="CD159" s="480"/>
      <c r="CE159" s="480"/>
      <c r="CF159" s="480"/>
      <c r="CG159" s="480"/>
      <c r="CH159" s="480"/>
      <c r="CI159" s="480"/>
      <c r="CJ159" s="480"/>
      <c r="CK159" s="480"/>
      <c r="CL159" s="480"/>
      <c r="CM159" s="480"/>
      <c r="CN159" s="480"/>
      <c r="CO159" s="480"/>
      <c r="CP159" s="480"/>
      <c r="CQ159" s="480"/>
      <c r="CR159" s="480"/>
      <c r="CS159" s="480"/>
      <c r="CT159" s="480"/>
      <c r="CU159" s="480"/>
      <c r="CV159" s="480"/>
      <c r="CW159" s="480"/>
      <c r="CX159" s="480"/>
      <c r="CY159" s="480"/>
      <c r="CZ159" s="480"/>
      <c r="DA159" s="480"/>
      <c r="DB159" s="480"/>
      <c r="DC159" s="480"/>
      <c r="DD159" s="480"/>
      <c r="DE159" s="480"/>
      <c r="DF159" s="480"/>
      <c r="DG159" s="480"/>
      <c r="DH159" s="480"/>
      <c r="DI159" s="480"/>
      <c r="DJ159" s="480"/>
      <c r="DK159" s="480"/>
      <c r="DL159" s="480"/>
      <c r="DM159" s="480"/>
      <c r="DN159" s="480"/>
      <c r="DO159" s="480"/>
      <c r="DP159" s="480"/>
      <c r="DQ159" s="480"/>
    </row>
    <row r="160" spans="1:121" s="31" customFormat="1" ht="24.95" customHeight="1" x14ac:dyDescent="0.25">
      <c r="A160" s="898">
        <v>230</v>
      </c>
      <c r="B160" s="666">
        <v>2219</v>
      </c>
      <c r="C160" s="667">
        <v>6121</v>
      </c>
      <c r="D160" s="1055">
        <v>3228</v>
      </c>
      <c r="E160" s="438" t="s">
        <v>431</v>
      </c>
      <c r="F160" s="110" t="s">
        <v>430</v>
      </c>
      <c r="G160" s="111">
        <v>400</v>
      </c>
      <c r="H160" s="111">
        <v>2017</v>
      </c>
      <c r="I160" s="112">
        <v>2020</v>
      </c>
      <c r="J160" s="462">
        <f t="shared" si="30"/>
        <v>48802</v>
      </c>
      <c r="K160" s="463">
        <v>0</v>
      </c>
      <c r="L160" s="464">
        <v>530</v>
      </c>
      <c r="M160" s="465">
        <f t="shared" si="31"/>
        <v>870</v>
      </c>
      <c r="N160" s="466">
        <v>870</v>
      </c>
      <c r="O160" s="475">
        <f>980-980</f>
        <v>0</v>
      </c>
      <c r="P160" s="467">
        <v>0</v>
      </c>
      <c r="Q160" s="464">
        <v>0</v>
      </c>
      <c r="R160" s="469">
        <v>47402</v>
      </c>
      <c r="S160" s="467">
        <v>0</v>
      </c>
      <c r="T160" s="464">
        <v>0</v>
      </c>
      <c r="U160" s="469">
        <v>0</v>
      </c>
      <c r="V160" s="467">
        <v>0</v>
      </c>
      <c r="W160" s="464">
        <v>0</v>
      </c>
      <c r="X160" s="469">
        <v>0</v>
      </c>
      <c r="Y160" s="467">
        <v>0</v>
      </c>
      <c r="Z160" s="468">
        <v>0</v>
      </c>
      <c r="AA160" s="478">
        <v>0</v>
      </c>
      <c r="AB160" s="25"/>
      <c r="AC160" s="25"/>
      <c r="AD160" s="25"/>
      <c r="AE160" s="25"/>
      <c r="AF160" s="25"/>
      <c r="AG160" s="25"/>
      <c r="AH160" s="25"/>
      <c r="AI160" s="25"/>
      <c r="AJ160" s="25"/>
      <c r="AK160" s="25"/>
      <c r="AL160" s="25"/>
      <c r="AM160" s="25"/>
      <c r="AN160" s="25"/>
      <c r="AO160" s="25"/>
      <c r="AP160" s="25"/>
      <c r="AQ160" s="25"/>
      <c r="AR160" s="25"/>
      <c r="AS160" s="25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  <c r="BF160" s="25"/>
      <c r="BG160" s="25"/>
      <c r="BH160" s="25"/>
      <c r="BI160" s="25"/>
      <c r="BJ160" s="25"/>
      <c r="BK160" s="25"/>
      <c r="BL160" s="25"/>
      <c r="BM160" s="25"/>
      <c r="BN160" s="25"/>
      <c r="BO160" s="25"/>
      <c r="BP160" s="25"/>
      <c r="BQ160" s="25"/>
      <c r="BR160" s="25"/>
      <c r="BS160" s="25"/>
      <c r="BT160" s="25"/>
      <c r="BU160" s="25"/>
      <c r="BV160" s="25"/>
      <c r="BW160" s="25"/>
      <c r="BX160" s="25"/>
      <c r="BY160" s="25"/>
      <c r="BZ160" s="25"/>
      <c r="CA160" s="25"/>
      <c r="CB160" s="25"/>
      <c r="CC160" s="25"/>
      <c r="CD160" s="25"/>
      <c r="CE160" s="25"/>
      <c r="CF160" s="25"/>
      <c r="CG160" s="25"/>
      <c r="CH160" s="25"/>
      <c r="CI160" s="25"/>
      <c r="CJ160" s="25"/>
      <c r="CK160" s="25"/>
      <c r="CL160" s="25"/>
      <c r="CM160" s="25"/>
      <c r="CN160" s="25"/>
      <c r="CO160" s="25"/>
      <c r="CP160" s="25"/>
      <c r="CQ160" s="25"/>
      <c r="CR160" s="25"/>
      <c r="CS160" s="25"/>
      <c r="CT160" s="25"/>
      <c r="CU160" s="25"/>
      <c r="CV160" s="25"/>
      <c r="CW160" s="25"/>
      <c r="CX160" s="25"/>
      <c r="CY160" s="25"/>
      <c r="CZ160" s="25"/>
      <c r="DA160" s="25"/>
      <c r="DB160" s="25"/>
      <c r="DC160" s="25"/>
      <c r="DD160" s="25"/>
      <c r="DE160" s="25"/>
      <c r="DF160" s="25"/>
      <c r="DG160" s="25"/>
      <c r="DH160" s="25"/>
      <c r="DI160" s="25"/>
      <c r="DJ160" s="25"/>
      <c r="DK160" s="25"/>
      <c r="DL160" s="25"/>
      <c r="DM160" s="25"/>
      <c r="DN160" s="25"/>
      <c r="DO160" s="25"/>
      <c r="DP160" s="25"/>
      <c r="DQ160" s="25"/>
    </row>
    <row r="161" spans="1:121" s="31" customFormat="1" ht="24.95" customHeight="1" x14ac:dyDescent="0.25">
      <c r="A161" s="898">
        <v>230</v>
      </c>
      <c r="B161" s="935">
        <v>2219</v>
      </c>
      <c r="C161" s="934">
        <v>6121</v>
      </c>
      <c r="D161" s="1055">
        <v>3236</v>
      </c>
      <c r="E161" s="438" t="s">
        <v>429</v>
      </c>
      <c r="F161" s="1017"/>
      <c r="G161" s="440">
        <v>400</v>
      </c>
      <c r="H161" s="440">
        <v>2017</v>
      </c>
      <c r="I161" s="766">
        <v>2020</v>
      </c>
      <c r="J161" s="442">
        <f t="shared" si="30"/>
        <v>5500</v>
      </c>
      <c r="K161" s="443">
        <v>0</v>
      </c>
      <c r="L161" s="444">
        <v>0</v>
      </c>
      <c r="M161" s="445">
        <f t="shared" si="31"/>
        <v>500</v>
      </c>
      <c r="N161" s="446">
        <v>500</v>
      </c>
      <c r="O161" s="447">
        <v>0</v>
      </c>
      <c r="P161" s="448">
        <v>0</v>
      </c>
      <c r="Q161" s="444">
        <v>0</v>
      </c>
      <c r="R161" s="449">
        <v>5000</v>
      </c>
      <c r="S161" s="448">
        <v>0</v>
      </c>
      <c r="T161" s="444">
        <v>0</v>
      </c>
      <c r="U161" s="449">
        <v>0</v>
      </c>
      <c r="V161" s="448">
        <v>0</v>
      </c>
      <c r="W161" s="444">
        <v>0</v>
      </c>
      <c r="X161" s="449">
        <v>0</v>
      </c>
      <c r="Y161" s="448">
        <v>0</v>
      </c>
      <c r="Z161" s="492">
        <v>0</v>
      </c>
      <c r="AA161" s="493">
        <v>0</v>
      </c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  <c r="BM161" s="25"/>
      <c r="BN161" s="25"/>
      <c r="BO161" s="25"/>
      <c r="BP161" s="25"/>
      <c r="BQ161" s="25"/>
      <c r="BR161" s="25"/>
      <c r="BS161" s="25"/>
      <c r="BT161" s="25"/>
      <c r="BU161" s="25"/>
      <c r="BV161" s="25"/>
      <c r="BW161" s="25"/>
      <c r="BX161" s="25"/>
      <c r="BY161" s="25"/>
      <c r="BZ161" s="25"/>
      <c r="CA161" s="25"/>
      <c r="CB161" s="25"/>
      <c r="CC161" s="25"/>
      <c r="CD161" s="25"/>
      <c r="CE161" s="25"/>
      <c r="CF161" s="25"/>
      <c r="CG161" s="25"/>
      <c r="CH161" s="25"/>
      <c r="CI161" s="25"/>
      <c r="CJ161" s="25"/>
      <c r="CK161" s="25"/>
      <c r="CL161" s="25"/>
      <c r="CM161" s="25"/>
      <c r="CN161" s="25"/>
      <c r="CO161" s="25"/>
      <c r="CP161" s="25"/>
      <c r="CQ161" s="25"/>
      <c r="CR161" s="25"/>
      <c r="CS161" s="25"/>
      <c r="CT161" s="25"/>
      <c r="CU161" s="25"/>
      <c r="CV161" s="25"/>
      <c r="CW161" s="25"/>
      <c r="CX161" s="25"/>
      <c r="CY161" s="25"/>
      <c r="CZ161" s="25"/>
      <c r="DA161" s="25"/>
      <c r="DB161" s="25"/>
      <c r="DC161" s="25"/>
      <c r="DD161" s="25"/>
      <c r="DE161" s="25"/>
      <c r="DF161" s="25"/>
      <c r="DG161" s="25"/>
      <c r="DH161" s="25"/>
      <c r="DI161" s="25"/>
      <c r="DJ161" s="25"/>
      <c r="DK161" s="25"/>
      <c r="DL161" s="25"/>
      <c r="DM161" s="25"/>
      <c r="DN161" s="25"/>
      <c r="DO161" s="25"/>
      <c r="DP161" s="25"/>
      <c r="DQ161" s="25"/>
    </row>
    <row r="162" spans="1:121" s="1010" customFormat="1" ht="24.95" customHeight="1" x14ac:dyDescent="0.25">
      <c r="A162" s="1016">
        <v>230</v>
      </c>
      <c r="B162" s="1015">
        <v>2219</v>
      </c>
      <c r="C162" s="1014">
        <v>6121</v>
      </c>
      <c r="D162" s="1055">
        <v>3239</v>
      </c>
      <c r="E162" s="1013" t="s">
        <v>428</v>
      </c>
      <c r="F162" s="1012" t="s">
        <v>427</v>
      </c>
      <c r="G162" s="111">
        <v>400</v>
      </c>
      <c r="H162" s="111">
        <v>2018</v>
      </c>
      <c r="I162" s="112">
        <v>2020</v>
      </c>
      <c r="J162" s="462">
        <f t="shared" si="30"/>
        <v>85600</v>
      </c>
      <c r="K162" s="463">
        <v>0</v>
      </c>
      <c r="L162" s="464">
        <v>0</v>
      </c>
      <c r="M162" s="465">
        <f t="shared" si="31"/>
        <v>600</v>
      </c>
      <c r="N162" s="466">
        <v>600</v>
      </c>
      <c r="O162" s="475">
        <f>3450-2000-1450</f>
        <v>0</v>
      </c>
      <c r="P162" s="467">
        <v>0</v>
      </c>
      <c r="Q162" s="464">
        <v>0</v>
      </c>
      <c r="R162" s="469">
        <v>15000</v>
      </c>
      <c r="S162" s="467">
        <v>0</v>
      </c>
      <c r="T162" s="464">
        <v>0</v>
      </c>
      <c r="U162" s="469">
        <v>70000</v>
      </c>
      <c r="V162" s="467">
        <v>0</v>
      </c>
      <c r="W162" s="464">
        <v>0</v>
      </c>
      <c r="X162" s="469">
        <v>0</v>
      </c>
      <c r="Y162" s="467">
        <v>0</v>
      </c>
      <c r="Z162" s="468">
        <v>0</v>
      </c>
      <c r="AA162" s="478">
        <v>0</v>
      </c>
      <c r="AB162" s="1011"/>
      <c r="AC162" s="1011"/>
      <c r="AD162" s="1011"/>
      <c r="AE162" s="1011"/>
      <c r="AF162" s="1011"/>
      <c r="AG162" s="1011"/>
      <c r="AH162" s="1011"/>
      <c r="AI162" s="1011"/>
      <c r="AJ162" s="1011"/>
      <c r="AK162" s="1011"/>
      <c r="AL162" s="1011"/>
      <c r="AM162" s="1011"/>
      <c r="AN162" s="1011"/>
      <c r="AO162" s="1011"/>
      <c r="AP162" s="1011"/>
      <c r="AQ162" s="1011"/>
      <c r="AR162" s="1011"/>
      <c r="AS162" s="1011"/>
      <c r="AT162" s="1011"/>
      <c r="AU162" s="1011"/>
      <c r="AV162" s="1011"/>
      <c r="AW162" s="1011"/>
      <c r="AX162" s="1011"/>
      <c r="AY162" s="1011"/>
      <c r="AZ162" s="1011"/>
      <c r="BA162" s="1011"/>
      <c r="BB162" s="1011"/>
      <c r="BC162" s="1011"/>
      <c r="BD162" s="1011"/>
      <c r="BE162" s="1011"/>
      <c r="BF162" s="1011"/>
      <c r="BG162" s="1011"/>
      <c r="BH162" s="1011"/>
      <c r="BI162" s="1011"/>
      <c r="BJ162" s="1011"/>
      <c r="BK162" s="1011"/>
      <c r="BL162" s="1011"/>
      <c r="BM162" s="1011"/>
      <c r="BN162" s="1011"/>
      <c r="BO162" s="1011"/>
      <c r="BP162" s="1011"/>
      <c r="BQ162" s="1011"/>
      <c r="BR162" s="1011"/>
      <c r="BS162" s="1011"/>
      <c r="BT162" s="1011"/>
      <c r="BU162" s="1011"/>
      <c r="BV162" s="1011"/>
      <c r="BW162" s="1011"/>
      <c r="BX162" s="1011"/>
      <c r="BY162" s="1011"/>
      <c r="BZ162" s="1011"/>
      <c r="CA162" s="1011"/>
      <c r="CB162" s="1011"/>
      <c r="CC162" s="1011"/>
      <c r="CD162" s="1011"/>
      <c r="CE162" s="1011"/>
      <c r="CF162" s="1011"/>
      <c r="CG162" s="1011"/>
      <c r="CH162" s="1011"/>
      <c r="CI162" s="1011"/>
      <c r="CJ162" s="1011"/>
      <c r="CK162" s="1011"/>
      <c r="CL162" s="1011"/>
      <c r="CM162" s="1011"/>
      <c r="CN162" s="1011"/>
      <c r="CO162" s="1011"/>
      <c r="CP162" s="1011"/>
      <c r="CQ162" s="1011"/>
      <c r="CR162" s="1011"/>
      <c r="CS162" s="1011"/>
      <c r="CT162" s="1011"/>
      <c r="CU162" s="1011"/>
      <c r="CV162" s="1011"/>
      <c r="CW162" s="1011"/>
      <c r="CX162" s="1011"/>
      <c r="CY162" s="1011"/>
      <c r="CZ162" s="1011"/>
      <c r="DA162" s="1011"/>
      <c r="DB162" s="1011"/>
      <c r="DC162" s="1011"/>
      <c r="DD162" s="1011"/>
      <c r="DE162" s="1011"/>
      <c r="DF162" s="1011"/>
      <c r="DG162" s="1011"/>
      <c r="DH162" s="1011"/>
      <c r="DI162" s="1011"/>
      <c r="DJ162" s="1011"/>
      <c r="DK162" s="1011"/>
      <c r="DL162" s="1011"/>
      <c r="DM162" s="1011"/>
      <c r="DN162" s="1011"/>
      <c r="DO162" s="1011"/>
      <c r="DP162" s="1011"/>
      <c r="DQ162" s="1011"/>
    </row>
    <row r="163" spans="1:121" s="23" customFormat="1" ht="24.95" customHeight="1" x14ac:dyDescent="0.25">
      <c r="A163" s="898">
        <v>230</v>
      </c>
      <c r="B163" s="781">
        <v>2219</v>
      </c>
      <c r="C163" s="782">
        <v>6121</v>
      </c>
      <c r="D163" s="1234">
        <v>3257</v>
      </c>
      <c r="E163" s="977" t="s">
        <v>426</v>
      </c>
      <c r="F163" s="1009"/>
      <c r="G163" s="111">
        <v>400</v>
      </c>
      <c r="H163" s="111">
        <v>2018</v>
      </c>
      <c r="I163" s="557">
        <v>2021</v>
      </c>
      <c r="J163" s="462">
        <f t="shared" si="30"/>
        <v>10400</v>
      </c>
      <c r="K163" s="463">
        <v>0</v>
      </c>
      <c r="L163" s="464">
        <v>0</v>
      </c>
      <c r="M163" s="465">
        <f t="shared" si="31"/>
        <v>400</v>
      </c>
      <c r="N163" s="466">
        <v>0</v>
      </c>
      <c r="O163" s="475">
        <v>400</v>
      </c>
      <c r="P163" s="467">
        <v>0</v>
      </c>
      <c r="Q163" s="464">
        <v>0</v>
      </c>
      <c r="R163" s="469">
        <v>0</v>
      </c>
      <c r="S163" s="467">
        <v>0</v>
      </c>
      <c r="T163" s="464">
        <v>0</v>
      </c>
      <c r="U163" s="469">
        <v>10000</v>
      </c>
      <c r="V163" s="467">
        <v>0</v>
      </c>
      <c r="W163" s="464">
        <v>0</v>
      </c>
      <c r="X163" s="469">
        <v>0</v>
      </c>
      <c r="Y163" s="467">
        <v>0</v>
      </c>
      <c r="Z163" s="468">
        <v>0</v>
      </c>
      <c r="AA163" s="478">
        <v>0</v>
      </c>
      <c r="AB163" s="25"/>
      <c r="AC163" s="25"/>
      <c r="AD163" s="25"/>
      <c r="AE163" s="25"/>
      <c r="AF163" s="25"/>
      <c r="AG163" s="25"/>
      <c r="AH163" s="25"/>
      <c r="AI163" s="25"/>
      <c r="AJ163" s="25"/>
      <c r="AK163" s="25"/>
      <c r="AL163" s="25"/>
      <c r="AM163" s="25"/>
      <c r="AN163" s="25"/>
      <c r="AO163" s="25"/>
      <c r="AP163" s="25"/>
      <c r="AQ163" s="25"/>
      <c r="AR163" s="25"/>
      <c r="AS163" s="25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  <c r="BF163" s="25"/>
      <c r="BG163" s="25"/>
      <c r="BH163" s="25"/>
      <c r="BI163" s="25"/>
      <c r="BJ163" s="25"/>
      <c r="BK163" s="25"/>
      <c r="BL163" s="25"/>
      <c r="BM163" s="25"/>
      <c r="BN163" s="25"/>
      <c r="BO163" s="25"/>
      <c r="BP163" s="25"/>
      <c r="BQ163" s="25"/>
      <c r="BR163" s="25"/>
      <c r="BS163" s="25"/>
      <c r="BT163" s="25"/>
      <c r="BU163" s="25"/>
      <c r="BV163" s="25"/>
      <c r="BW163" s="25"/>
      <c r="BX163" s="25"/>
      <c r="BY163" s="25"/>
      <c r="BZ163" s="25"/>
      <c r="CA163" s="25"/>
      <c r="CB163" s="25"/>
      <c r="CC163" s="25"/>
      <c r="CD163" s="25"/>
      <c r="CE163" s="25"/>
      <c r="CF163" s="25"/>
      <c r="CG163" s="25"/>
      <c r="CH163" s="25"/>
      <c r="CI163" s="25"/>
      <c r="CJ163" s="25"/>
      <c r="CK163" s="25"/>
      <c r="CL163" s="25"/>
      <c r="CM163" s="25"/>
      <c r="CN163" s="25"/>
      <c r="CO163" s="25"/>
      <c r="CP163" s="25"/>
      <c r="CQ163" s="25"/>
      <c r="CR163" s="25"/>
      <c r="CS163" s="25"/>
      <c r="CT163" s="25"/>
      <c r="CU163" s="25"/>
      <c r="CV163" s="25"/>
      <c r="CW163" s="25"/>
      <c r="CX163" s="25"/>
      <c r="CY163" s="25"/>
      <c r="CZ163" s="25"/>
      <c r="DA163" s="25"/>
      <c r="DB163" s="25"/>
      <c r="DC163" s="25"/>
      <c r="DD163" s="25"/>
      <c r="DE163" s="25"/>
      <c r="DF163" s="25"/>
      <c r="DG163" s="25"/>
      <c r="DH163" s="25"/>
      <c r="DI163" s="25"/>
      <c r="DJ163" s="25"/>
      <c r="DK163" s="25"/>
      <c r="DL163" s="25"/>
      <c r="DM163" s="25"/>
      <c r="DN163" s="25"/>
      <c r="DO163" s="25"/>
      <c r="DP163" s="25"/>
      <c r="DQ163" s="25"/>
    </row>
    <row r="164" spans="1:121" s="25" customFormat="1" ht="24.95" customHeight="1" x14ac:dyDescent="0.25">
      <c r="A164" s="898">
        <v>230</v>
      </c>
      <c r="B164" s="781">
        <v>2219</v>
      </c>
      <c r="C164" s="782">
        <v>6121</v>
      </c>
      <c r="D164" s="1234">
        <v>3259</v>
      </c>
      <c r="E164" s="500" t="s">
        <v>425</v>
      </c>
      <c r="F164" s="1008" t="s">
        <v>125</v>
      </c>
      <c r="G164" s="111">
        <v>400</v>
      </c>
      <c r="H164" s="111">
        <v>2019</v>
      </c>
      <c r="I164" s="112">
        <v>2020</v>
      </c>
      <c r="J164" s="462">
        <f t="shared" si="30"/>
        <v>5500</v>
      </c>
      <c r="K164" s="463">
        <v>0</v>
      </c>
      <c r="L164" s="464">
        <v>0</v>
      </c>
      <c r="M164" s="465">
        <f t="shared" si="31"/>
        <v>500</v>
      </c>
      <c r="N164" s="466">
        <v>0</v>
      </c>
      <c r="O164" s="475">
        <v>500</v>
      </c>
      <c r="P164" s="467">
        <v>0</v>
      </c>
      <c r="Q164" s="464">
        <v>0</v>
      </c>
      <c r="R164" s="469">
        <v>5000</v>
      </c>
      <c r="S164" s="467">
        <v>0</v>
      </c>
      <c r="T164" s="464">
        <v>0</v>
      </c>
      <c r="U164" s="469">
        <v>0</v>
      </c>
      <c r="V164" s="467">
        <v>0</v>
      </c>
      <c r="W164" s="464">
        <v>0</v>
      </c>
      <c r="X164" s="469">
        <v>0</v>
      </c>
      <c r="Y164" s="467">
        <v>0</v>
      </c>
      <c r="Z164" s="468">
        <v>0</v>
      </c>
      <c r="AA164" s="478">
        <v>0</v>
      </c>
    </row>
    <row r="165" spans="1:121" s="479" customFormat="1" ht="24.95" customHeight="1" x14ac:dyDescent="0.25">
      <c r="A165" s="600">
        <v>230</v>
      </c>
      <c r="B165" s="907">
        <v>2219</v>
      </c>
      <c r="C165" s="906">
        <v>6121</v>
      </c>
      <c r="D165" s="1055">
        <v>3292</v>
      </c>
      <c r="E165" s="1007" t="s">
        <v>424</v>
      </c>
      <c r="F165" s="439" t="s">
        <v>121</v>
      </c>
      <c r="G165" s="440">
        <v>400</v>
      </c>
      <c r="H165" s="440">
        <v>2015</v>
      </c>
      <c r="I165" s="441">
        <v>2020</v>
      </c>
      <c r="J165" s="442">
        <f t="shared" ref="J165:J193" si="32">K165+L165+M165+SUM(R165:AA165)</f>
        <v>84374</v>
      </c>
      <c r="K165" s="443">
        <v>1374</v>
      </c>
      <c r="L165" s="444">
        <v>0</v>
      </c>
      <c r="M165" s="940">
        <f t="shared" ref="M165:M195" si="33">N165+O165+P165+Q165</f>
        <v>1000</v>
      </c>
      <c r="N165" s="446">
        <v>0</v>
      </c>
      <c r="O165" s="447">
        <f>3000-2000</f>
        <v>1000</v>
      </c>
      <c r="P165" s="448">
        <v>0</v>
      </c>
      <c r="Q165" s="444">
        <v>0</v>
      </c>
      <c r="R165" s="449">
        <v>60000</v>
      </c>
      <c r="S165" s="448">
        <v>0</v>
      </c>
      <c r="T165" s="444">
        <v>0</v>
      </c>
      <c r="U165" s="449">
        <f>20000+2000</f>
        <v>22000</v>
      </c>
      <c r="V165" s="448">
        <v>0</v>
      </c>
      <c r="W165" s="444">
        <v>0</v>
      </c>
      <c r="X165" s="449">
        <v>0</v>
      </c>
      <c r="Y165" s="448">
        <v>0</v>
      </c>
      <c r="Z165" s="492">
        <v>0</v>
      </c>
      <c r="AA165" s="493">
        <v>0</v>
      </c>
      <c r="AB165" s="480"/>
      <c r="AC165" s="480"/>
      <c r="AD165" s="480"/>
      <c r="AE165" s="480"/>
      <c r="AF165" s="480"/>
      <c r="AG165" s="480"/>
      <c r="AH165" s="480"/>
      <c r="AI165" s="480"/>
      <c r="AJ165" s="480"/>
      <c r="AK165" s="480"/>
      <c r="AL165" s="480"/>
      <c r="AM165" s="480"/>
      <c r="AN165" s="480"/>
      <c r="AO165" s="480"/>
      <c r="AP165" s="480"/>
      <c r="AQ165" s="480"/>
      <c r="AR165" s="480"/>
      <c r="AS165" s="480"/>
      <c r="AT165" s="480"/>
      <c r="AU165" s="480"/>
      <c r="AV165" s="480"/>
      <c r="AW165" s="480"/>
      <c r="AX165" s="480"/>
      <c r="AY165" s="480"/>
      <c r="AZ165" s="480"/>
      <c r="BA165" s="480"/>
      <c r="BB165" s="480"/>
      <c r="BC165" s="480"/>
      <c r="BD165" s="480"/>
      <c r="BE165" s="480"/>
      <c r="BF165" s="480"/>
      <c r="BG165" s="480"/>
      <c r="BH165" s="480"/>
      <c r="BI165" s="480"/>
      <c r="BJ165" s="480"/>
      <c r="BK165" s="480"/>
      <c r="BL165" s="480"/>
      <c r="BM165" s="480"/>
      <c r="BN165" s="480"/>
      <c r="BO165" s="480"/>
      <c r="BP165" s="480"/>
      <c r="BQ165" s="480"/>
      <c r="BR165" s="480"/>
      <c r="BS165" s="480"/>
      <c r="BT165" s="480"/>
      <c r="BU165" s="480"/>
      <c r="BV165" s="480"/>
      <c r="BW165" s="480"/>
      <c r="BX165" s="480"/>
      <c r="BY165" s="480"/>
      <c r="BZ165" s="480"/>
      <c r="CA165" s="480"/>
      <c r="CB165" s="480"/>
      <c r="CC165" s="480"/>
      <c r="CD165" s="480"/>
      <c r="CE165" s="480"/>
      <c r="CF165" s="480"/>
      <c r="CG165" s="480"/>
      <c r="CH165" s="480"/>
      <c r="CI165" s="480"/>
      <c r="CJ165" s="480"/>
      <c r="CK165" s="480"/>
      <c r="CL165" s="480"/>
      <c r="CM165" s="480"/>
      <c r="CN165" s="480"/>
      <c r="CO165" s="480"/>
      <c r="CP165" s="480"/>
      <c r="CQ165" s="480"/>
      <c r="CR165" s="480"/>
      <c r="CS165" s="480"/>
      <c r="CT165" s="480"/>
      <c r="CU165" s="480"/>
      <c r="CV165" s="480"/>
      <c r="CW165" s="480"/>
      <c r="CX165" s="480"/>
      <c r="CY165" s="480"/>
      <c r="CZ165" s="480"/>
      <c r="DA165" s="480"/>
      <c r="DB165" s="480"/>
      <c r="DC165" s="480"/>
      <c r="DD165" s="480"/>
      <c r="DE165" s="480"/>
      <c r="DF165" s="480"/>
      <c r="DG165" s="480"/>
      <c r="DH165" s="480"/>
      <c r="DI165" s="480"/>
      <c r="DJ165" s="480"/>
      <c r="DK165" s="480"/>
      <c r="DL165" s="480"/>
      <c r="DM165" s="480"/>
      <c r="DN165" s="480"/>
      <c r="DO165" s="480"/>
      <c r="DP165" s="480"/>
      <c r="DQ165" s="480"/>
    </row>
    <row r="166" spans="1:121" s="25" customFormat="1" ht="24.95" customHeight="1" x14ac:dyDescent="0.25">
      <c r="A166" s="600">
        <v>230</v>
      </c>
      <c r="B166" s="783">
        <v>2219</v>
      </c>
      <c r="C166" s="1006">
        <v>6121</v>
      </c>
      <c r="D166" s="1235">
        <v>8191</v>
      </c>
      <c r="E166" s="438" t="s">
        <v>423</v>
      </c>
      <c r="F166" s="110" t="s">
        <v>121</v>
      </c>
      <c r="G166" s="111">
        <v>400</v>
      </c>
      <c r="H166" s="111">
        <v>2016</v>
      </c>
      <c r="I166" s="112">
        <v>2020</v>
      </c>
      <c r="J166" s="462">
        <f t="shared" si="32"/>
        <v>23038</v>
      </c>
      <c r="K166" s="463">
        <v>0</v>
      </c>
      <c r="L166" s="464">
        <v>0</v>
      </c>
      <c r="M166" s="465">
        <f t="shared" si="33"/>
        <v>5000</v>
      </c>
      <c r="N166" s="466">
        <v>0</v>
      </c>
      <c r="O166" s="475">
        <f>10000-5000</f>
        <v>5000</v>
      </c>
      <c r="P166" s="1005">
        <v>0</v>
      </c>
      <c r="Q166" s="489">
        <v>0</v>
      </c>
      <c r="R166" s="449">
        <f>13038+5000</f>
        <v>18038</v>
      </c>
      <c r="S166" s="467">
        <v>0</v>
      </c>
      <c r="T166" s="464">
        <v>0</v>
      </c>
      <c r="U166" s="469">
        <v>0</v>
      </c>
      <c r="V166" s="467">
        <v>0</v>
      </c>
      <c r="W166" s="464">
        <v>0</v>
      </c>
      <c r="X166" s="469">
        <v>0</v>
      </c>
      <c r="Y166" s="467">
        <v>0</v>
      </c>
      <c r="Z166" s="468">
        <v>0</v>
      </c>
      <c r="AA166" s="478">
        <v>0</v>
      </c>
    </row>
    <row r="167" spans="1:121" s="23" customFormat="1" ht="24.95" customHeight="1" x14ac:dyDescent="0.25">
      <c r="A167" s="893">
        <v>230</v>
      </c>
      <c r="B167" s="555">
        <v>2219</v>
      </c>
      <c r="C167" s="1004">
        <v>6122</v>
      </c>
      <c r="D167" s="1236">
        <v>8228</v>
      </c>
      <c r="E167" s="796" t="s">
        <v>422</v>
      </c>
      <c r="F167" s="110" t="s">
        <v>127</v>
      </c>
      <c r="G167" s="111">
        <v>400</v>
      </c>
      <c r="H167" s="111">
        <v>2018</v>
      </c>
      <c r="I167" s="112">
        <v>2019</v>
      </c>
      <c r="J167" s="462">
        <f t="shared" si="32"/>
        <v>1658</v>
      </c>
      <c r="K167" s="463">
        <v>0</v>
      </c>
      <c r="L167" s="464">
        <f>600+100</f>
        <v>700</v>
      </c>
      <c r="M167" s="465">
        <f t="shared" si="33"/>
        <v>958</v>
      </c>
      <c r="N167" s="466">
        <v>958</v>
      </c>
      <c r="O167" s="475">
        <v>0</v>
      </c>
      <c r="P167" s="467">
        <v>0</v>
      </c>
      <c r="Q167" s="464">
        <v>0</v>
      </c>
      <c r="R167" s="469">
        <v>0</v>
      </c>
      <c r="S167" s="467">
        <v>0</v>
      </c>
      <c r="T167" s="464">
        <v>0</v>
      </c>
      <c r="U167" s="469">
        <v>0</v>
      </c>
      <c r="V167" s="467">
        <v>0</v>
      </c>
      <c r="W167" s="464">
        <v>0</v>
      </c>
      <c r="X167" s="469">
        <v>0</v>
      </c>
      <c r="Y167" s="467">
        <v>0</v>
      </c>
      <c r="Z167" s="468">
        <v>0</v>
      </c>
      <c r="AA167" s="478">
        <v>0</v>
      </c>
      <c r="AB167" s="25"/>
      <c r="AC167" s="25"/>
      <c r="AD167" s="25"/>
      <c r="AE167" s="25"/>
      <c r="AF167" s="25"/>
      <c r="AG167" s="25"/>
      <c r="AH167" s="25"/>
      <c r="AI167" s="25"/>
      <c r="AJ167" s="25"/>
      <c r="AK167" s="25"/>
      <c r="AL167" s="25"/>
      <c r="AM167" s="25"/>
      <c r="AN167" s="25"/>
      <c r="AO167" s="25"/>
      <c r="AP167" s="25"/>
      <c r="AQ167" s="25"/>
      <c r="AR167" s="25"/>
      <c r="AS167" s="25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  <c r="BF167" s="25"/>
      <c r="BG167" s="25"/>
      <c r="BH167" s="25"/>
      <c r="BI167" s="25"/>
      <c r="BJ167" s="25"/>
      <c r="BK167" s="25"/>
      <c r="BL167" s="25"/>
      <c r="BM167" s="25"/>
      <c r="BN167" s="25"/>
      <c r="BO167" s="25"/>
      <c r="BP167" s="25"/>
      <c r="BQ167" s="25"/>
      <c r="BR167" s="25"/>
      <c r="BS167" s="25"/>
      <c r="BT167" s="25"/>
      <c r="BU167" s="25"/>
      <c r="BV167" s="25"/>
      <c r="BW167" s="25"/>
      <c r="BX167" s="25"/>
      <c r="BY167" s="25"/>
      <c r="BZ167" s="25"/>
      <c r="CA167" s="25"/>
      <c r="CB167" s="25"/>
      <c r="CC167" s="25"/>
      <c r="CD167" s="25"/>
      <c r="CE167" s="25"/>
      <c r="CF167" s="25"/>
      <c r="CG167" s="25"/>
      <c r="CH167" s="25"/>
      <c r="CI167" s="25"/>
      <c r="CJ167" s="25"/>
      <c r="CK167" s="25"/>
      <c r="CL167" s="25"/>
      <c r="CM167" s="25"/>
      <c r="CN167" s="25"/>
      <c r="CO167" s="25"/>
      <c r="CP167" s="25"/>
      <c r="CQ167" s="25"/>
      <c r="CR167" s="25"/>
      <c r="CS167" s="25"/>
      <c r="CT167" s="25"/>
      <c r="CU167" s="25"/>
      <c r="CV167" s="25"/>
      <c r="CW167" s="25"/>
      <c r="CX167" s="25"/>
      <c r="CY167" s="25"/>
      <c r="CZ167" s="25"/>
      <c r="DA167" s="25"/>
      <c r="DB167" s="25"/>
      <c r="DC167" s="25"/>
      <c r="DD167" s="25"/>
      <c r="DE167" s="25"/>
      <c r="DF167" s="25"/>
      <c r="DG167" s="25"/>
      <c r="DH167" s="25"/>
      <c r="DI167" s="25"/>
      <c r="DJ167" s="25"/>
      <c r="DK167" s="25"/>
      <c r="DL167" s="25"/>
      <c r="DM167" s="25"/>
      <c r="DN167" s="25"/>
      <c r="DO167" s="25"/>
      <c r="DP167" s="25"/>
      <c r="DQ167" s="25"/>
    </row>
    <row r="168" spans="1:121" s="202" customFormat="1" ht="24.95" customHeight="1" x14ac:dyDescent="0.25">
      <c r="A168" s="980">
        <v>230</v>
      </c>
      <c r="B168" s="1003">
        <v>2221</v>
      </c>
      <c r="C168" s="1002">
        <v>6121</v>
      </c>
      <c r="D168" s="1232">
        <v>3195</v>
      </c>
      <c r="E168" s="438" t="s">
        <v>421</v>
      </c>
      <c r="F168" s="1001" t="s">
        <v>147</v>
      </c>
      <c r="G168" s="607">
        <v>400</v>
      </c>
      <c r="H168" s="607">
        <v>2016</v>
      </c>
      <c r="I168" s="1000">
        <v>2023</v>
      </c>
      <c r="J168" s="442">
        <f t="shared" si="32"/>
        <v>168304</v>
      </c>
      <c r="K168" s="443">
        <v>1104</v>
      </c>
      <c r="L168" s="444">
        <v>0</v>
      </c>
      <c r="M168" s="445">
        <f t="shared" si="33"/>
        <v>6200</v>
      </c>
      <c r="N168" s="446">
        <v>4996</v>
      </c>
      <c r="O168" s="447">
        <v>1204</v>
      </c>
      <c r="P168" s="448">
        <v>0</v>
      </c>
      <c r="Q168" s="444">
        <v>0</v>
      </c>
      <c r="R168" s="449">
        <v>50000</v>
      </c>
      <c r="S168" s="448">
        <v>0</v>
      </c>
      <c r="T168" s="444">
        <v>0</v>
      </c>
      <c r="U168" s="449">
        <v>50000</v>
      </c>
      <c r="V168" s="448">
        <v>0</v>
      </c>
      <c r="W168" s="444">
        <v>0</v>
      </c>
      <c r="X168" s="449">
        <v>61000</v>
      </c>
      <c r="Y168" s="448">
        <v>0</v>
      </c>
      <c r="Z168" s="492">
        <v>0</v>
      </c>
      <c r="AA168" s="493">
        <v>0</v>
      </c>
      <c r="AB168" s="25"/>
      <c r="AC168" s="25"/>
      <c r="AD168" s="25"/>
      <c r="AE168" s="25"/>
      <c r="AF168" s="25"/>
      <c r="AG168" s="25"/>
      <c r="AH168" s="25"/>
      <c r="AI168" s="25"/>
      <c r="AJ168" s="25"/>
      <c r="AK168" s="25"/>
      <c r="AL168" s="25"/>
      <c r="AM168" s="25"/>
      <c r="AN168" s="25"/>
      <c r="AO168" s="25"/>
      <c r="AP168" s="25"/>
      <c r="AQ168" s="25"/>
      <c r="AR168" s="25"/>
      <c r="AS168" s="25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  <c r="BF168" s="25"/>
      <c r="BG168" s="25"/>
      <c r="BH168" s="25"/>
      <c r="BI168" s="25"/>
      <c r="BJ168" s="25"/>
      <c r="BK168" s="25"/>
      <c r="BL168" s="25"/>
      <c r="BM168" s="25"/>
      <c r="BN168" s="25"/>
      <c r="BO168" s="25"/>
      <c r="BP168" s="25"/>
      <c r="BQ168" s="25"/>
      <c r="BR168" s="25"/>
      <c r="BS168" s="25"/>
      <c r="BT168" s="25"/>
      <c r="BU168" s="25"/>
      <c r="BV168" s="25"/>
      <c r="BW168" s="25"/>
      <c r="BX168" s="25"/>
      <c r="BY168" s="25"/>
      <c r="BZ168" s="25"/>
      <c r="CA168" s="25"/>
      <c r="CB168" s="25"/>
      <c r="CC168" s="25"/>
      <c r="CD168" s="25"/>
      <c r="CE168" s="25"/>
      <c r="CF168" s="25"/>
      <c r="CG168" s="25"/>
      <c r="CH168" s="25"/>
      <c r="CI168" s="25"/>
      <c r="CJ168" s="25"/>
      <c r="CK168" s="25"/>
      <c r="CL168" s="25"/>
      <c r="CM168" s="25"/>
      <c r="CN168" s="25"/>
      <c r="CO168" s="25"/>
      <c r="CP168" s="25"/>
      <c r="CQ168" s="25"/>
      <c r="CR168" s="25"/>
      <c r="CS168" s="25"/>
      <c r="CT168" s="25"/>
      <c r="CU168" s="25"/>
      <c r="CV168" s="25"/>
      <c r="CW168" s="25"/>
      <c r="CX168" s="25"/>
      <c r="CY168" s="25"/>
      <c r="CZ168" s="25"/>
      <c r="DA168" s="25"/>
      <c r="DB168" s="25"/>
      <c r="DC168" s="25"/>
      <c r="DD168" s="25"/>
      <c r="DE168" s="25"/>
      <c r="DF168" s="25"/>
      <c r="DG168" s="25"/>
      <c r="DH168" s="25"/>
      <c r="DI168" s="25"/>
      <c r="DJ168" s="25"/>
      <c r="DK168" s="25"/>
      <c r="DL168" s="25"/>
      <c r="DM168" s="25"/>
      <c r="DN168" s="25"/>
      <c r="DO168" s="25"/>
      <c r="DP168" s="25"/>
      <c r="DQ168" s="25"/>
    </row>
    <row r="169" spans="1:121" s="26" customFormat="1" ht="24.95" customHeight="1" x14ac:dyDescent="0.25">
      <c r="A169" s="665">
        <v>230</v>
      </c>
      <c r="B169" s="926">
        <v>2221</v>
      </c>
      <c r="C169" s="925">
        <v>6121</v>
      </c>
      <c r="D169" s="1055">
        <v>3202</v>
      </c>
      <c r="E169" s="438" t="s">
        <v>420</v>
      </c>
      <c r="F169" s="515" t="s">
        <v>121</v>
      </c>
      <c r="G169" s="483">
        <v>400</v>
      </c>
      <c r="H169" s="483">
        <v>2016</v>
      </c>
      <c r="I169" s="484">
        <v>2023</v>
      </c>
      <c r="J169" s="462">
        <f t="shared" si="32"/>
        <v>1496062</v>
      </c>
      <c r="K169" s="463">
        <v>0</v>
      </c>
      <c r="L169" s="464">
        <v>5430</v>
      </c>
      <c r="M169" s="465">
        <f t="shared" si="33"/>
        <v>10172</v>
      </c>
      <c r="N169" s="466">
        <v>8642</v>
      </c>
      <c r="O169" s="475">
        <v>1530</v>
      </c>
      <c r="P169" s="467">
        <v>0</v>
      </c>
      <c r="Q169" s="464">
        <v>0</v>
      </c>
      <c r="R169" s="469">
        <f>6479</f>
        <v>6479</v>
      </c>
      <c r="S169" s="467">
        <v>0</v>
      </c>
      <c r="T169" s="464">
        <v>0</v>
      </c>
      <c r="U169" s="469">
        <v>490000</v>
      </c>
      <c r="V169" s="467">
        <v>0</v>
      </c>
      <c r="W169" s="464">
        <v>0</v>
      </c>
      <c r="X169" s="469">
        <v>490000</v>
      </c>
      <c r="Y169" s="467">
        <v>0</v>
      </c>
      <c r="Z169" s="468">
        <v>0</v>
      </c>
      <c r="AA169" s="478">
        <f>494000-19</f>
        <v>493981</v>
      </c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  <c r="BM169" s="25"/>
      <c r="BN169" s="25"/>
      <c r="BO169" s="25"/>
      <c r="BP169" s="25"/>
      <c r="BQ169" s="25"/>
      <c r="BR169" s="25"/>
      <c r="BS169" s="25"/>
      <c r="BT169" s="25"/>
      <c r="BU169" s="25"/>
      <c r="BV169" s="25"/>
      <c r="BW169" s="25"/>
      <c r="BX169" s="25"/>
      <c r="BY169" s="25"/>
      <c r="BZ169" s="25"/>
      <c r="CA169" s="25"/>
      <c r="CB169" s="25"/>
      <c r="CC169" s="25"/>
      <c r="CD169" s="25"/>
      <c r="CE169" s="25"/>
      <c r="CF169" s="25"/>
      <c r="CG169" s="25"/>
      <c r="CH169" s="25"/>
      <c r="CI169" s="25"/>
      <c r="CJ169" s="25"/>
      <c r="CK169" s="25"/>
      <c r="CL169" s="25"/>
      <c r="CM169" s="25"/>
      <c r="CN169" s="25"/>
      <c r="CO169" s="25"/>
      <c r="CP169" s="25"/>
      <c r="CQ169" s="25"/>
      <c r="CR169" s="25"/>
      <c r="CS169" s="25"/>
      <c r="CT169" s="25"/>
      <c r="CU169" s="25"/>
      <c r="CV169" s="25"/>
      <c r="CW169" s="25"/>
      <c r="CX169" s="25"/>
      <c r="CY169" s="25"/>
      <c r="CZ169" s="25"/>
      <c r="DA169" s="25"/>
      <c r="DB169" s="25"/>
      <c r="DC169" s="25"/>
      <c r="DD169" s="25"/>
      <c r="DE169" s="25"/>
      <c r="DF169" s="25"/>
      <c r="DG169" s="25"/>
      <c r="DH169" s="25"/>
      <c r="DI169" s="25"/>
      <c r="DJ169" s="25"/>
      <c r="DK169" s="25"/>
      <c r="DL169" s="25"/>
      <c r="DM169" s="25"/>
      <c r="DN169" s="25"/>
      <c r="DO169" s="25"/>
      <c r="DP169" s="25"/>
      <c r="DQ169" s="25"/>
    </row>
    <row r="170" spans="1:121" s="26" customFormat="1" ht="24.95" customHeight="1" x14ac:dyDescent="0.25">
      <c r="A170" s="665">
        <v>230</v>
      </c>
      <c r="B170" s="935">
        <v>2221</v>
      </c>
      <c r="C170" s="934">
        <v>6121</v>
      </c>
      <c r="D170" s="1055">
        <v>3225</v>
      </c>
      <c r="E170" s="438" t="s">
        <v>419</v>
      </c>
      <c r="F170" s="383" t="s">
        <v>127</v>
      </c>
      <c r="G170" s="111">
        <v>400</v>
      </c>
      <c r="H170" s="111">
        <v>2017</v>
      </c>
      <c r="I170" s="112">
        <v>2020</v>
      </c>
      <c r="J170" s="462">
        <f t="shared" si="32"/>
        <v>33401</v>
      </c>
      <c r="K170" s="463">
        <v>0</v>
      </c>
      <c r="L170" s="464">
        <v>350</v>
      </c>
      <c r="M170" s="725">
        <f t="shared" si="33"/>
        <v>1540</v>
      </c>
      <c r="N170" s="466">
        <f>1037</f>
        <v>1037</v>
      </c>
      <c r="O170" s="475">
        <v>503</v>
      </c>
      <c r="P170" s="467">
        <v>0</v>
      </c>
      <c r="Q170" s="464">
        <v>0</v>
      </c>
      <c r="R170" s="469">
        <v>31511</v>
      </c>
      <c r="S170" s="467">
        <v>0</v>
      </c>
      <c r="T170" s="464">
        <v>0</v>
      </c>
      <c r="U170" s="469">
        <v>0</v>
      </c>
      <c r="V170" s="467">
        <v>0</v>
      </c>
      <c r="W170" s="464">
        <v>0</v>
      </c>
      <c r="X170" s="469">
        <v>0</v>
      </c>
      <c r="Y170" s="467">
        <v>0</v>
      </c>
      <c r="Z170" s="468">
        <v>0</v>
      </c>
      <c r="AA170" s="478">
        <v>0</v>
      </c>
      <c r="AB170" s="25"/>
      <c r="AC170" s="25"/>
      <c r="AD170" s="25"/>
      <c r="AE170" s="25"/>
      <c r="AF170" s="25"/>
      <c r="AG170" s="25"/>
      <c r="AH170" s="25"/>
      <c r="AI170" s="25"/>
      <c r="AJ170" s="25"/>
      <c r="AK170" s="25"/>
      <c r="AL170" s="25"/>
      <c r="AM170" s="25"/>
      <c r="AN170" s="25"/>
      <c r="AO170" s="25"/>
      <c r="AP170" s="25"/>
      <c r="AQ170" s="25"/>
      <c r="AR170" s="25"/>
      <c r="AS170" s="25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  <c r="BF170" s="25"/>
      <c r="BG170" s="25"/>
      <c r="BH170" s="25"/>
      <c r="BI170" s="25"/>
      <c r="BJ170" s="25"/>
      <c r="BK170" s="25"/>
      <c r="BL170" s="25"/>
      <c r="BM170" s="25"/>
      <c r="BN170" s="25"/>
      <c r="BO170" s="25"/>
      <c r="BP170" s="25"/>
      <c r="BQ170" s="25"/>
      <c r="BR170" s="25"/>
      <c r="BS170" s="25"/>
      <c r="BT170" s="25"/>
      <c r="BU170" s="25"/>
      <c r="BV170" s="25"/>
      <c r="BW170" s="25"/>
      <c r="BX170" s="25"/>
      <c r="BY170" s="25"/>
      <c r="BZ170" s="25"/>
      <c r="CA170" s="25"/>
      <c r="CB170" s="25"/>
      <c r="CC170" s="25"/>
      <c r="CD170" s="25"/>
      <c r="CE170" s="25"/>
      <c r="CF170" s="25"/>
      <c r="CG170" s="25"/>
      <c r="CH170" s="25"/>
      <c r="CI170" s="25"/>
      <c r="CJ170" s="25"/>
      <c r="CK170" s="25"/>
      <c r="CL170" s="25"/>
      <c r="CM170" s="25"/>
      <c r="CN170" s="25"/>
      <c r="CO170" s="25"/>
      <c r="CP170" s="25"/>
      <c r="CQ170" s="25"/>
      <c r="CR170" s="25"/>
      <c r="CS170" s="25"/>
      <c r="CT170" s="25"/>
      <c r="CU170" s="25"/>
      <c r="CV170" s="25"/>
      <c r="CW170" s="25"/>
      <c r="CX170" s="25"/>
      <c r="CY170" s="25"/>
      <c r="CZ170" s="25"/>
      <c r="DA170" s="25"/>
      <c r="DB170" s="25"/>
      <c r="DC170" s="25"/>
      <c r="DD170" s="25"/>
      <c r="DE170" s="25"/>
      <c r="DF170" s="25"/>
      <c r="DG170" s="25"/>
      <c r="DH170" s="25"/>
      <c r="DI170" s="25"/>
      <c r="DJ170" s="25"/>
      <c r="DK170" s="25"/>
      <c r="DL170" s="25"/>
      <c r="DM170" s="25"/>
      <c r="DN170" s="25"/>
      <c r="DO170" s="25"/>
      <c r="DP170" s="25"/>
      <c r="DQ170" s="25"/>
    </row>
    <row r="171" spans="1:121" s="558" customFormat="1" ht="24.95" customHeight="1" x14ac:dyDescent="0.25">
      <c r="A171" s="924">
        <v>230</v>
      </c>
      <c r="B171" s="999">
        <v>2221</v>
      </c>
      <c r="C171" s="998">
        <v>6121</v>
      </c>
      <c r="D171" s="1055">
        <v>3237</v>
      </c>
      <c r="E171" s="438" t="s">
        <v>418</v>
      </c>
      <c r="F171" s="515" t="s">
        <v>127</v>
      </c>
      <c r="G171" s="483">
        <v>400</v>
      </c>
      <c r="H171" s="483">
        <v>2017</v>
      </c>
      <c r="I171" s="484">
        <v>2023</v>
      </c>
      <c r="J171" s="462">
        <f t="shared" si="32"/>
        <v>291361</v>
      </c>
      <c r="K171" s="463">
        <v>0</v>
      </c>
      <c r="L171" s="464">
        <v>361</v>
      </c>
      <c r="M171" s="465">
        <f t="shared" si="33"/>
        <v>4000</v>
      </c>
      <c r="N171" s="466">
        <v>1639</v>
      </c>
      <c r="O171" s="475">
        <f>5361-3000</f>
        <v>2361</v>
      </c>
      <c r="P171" s="467">
        <v>0</v>
      </c>
      <c r="Q171" s="464">
        <v>0</v>
      </c>
      <c r="R171" s="469">
        <f>5000+3000</f>
        <v>8000</v>
      </c>
      <c r="S171" s="467">
        <v>0</v>
      </c>
      <c r="T171" s="464">
        <v>0</v>
      </c>
      <c r="U171" s="469">
        <v>60000</v>
      </c>
      <c r="V171" s="467">
        <v>0</v>
      </c>
      <c r="W171" s="464">
        <v>0</v>
      </c>
      <c r="X171" s="469">
        <v>90000</v>
      </c>
      <c r="Y171" s="467">
        <v>0</v>
      </c>
      <c r="Z171" s="468">
        <v>0</v>
      </c>
      <c r="AA171" s="478">
        <v>129000</v>
      </c>
      <c r="AB171" s="25"/>
      <c r="AC171" s="25"/>
      <c r="AD171" s="25"/>
      <c r="AE171" s="25"/>
      <c r="AF171" s="25"/>
      <c r="AG171" s="25"/>
      <c r="AH171" s="25"/>
      <c r="AI171" s="25"/>
      <c r="AJ171" s="25"/>
      <c r="AK171" s="25"/>
      <c r="AL171" s="25"/>
      <c r="AM171" s="25"/>
      <c r="AN171" s="25"/>
      <c r="AO171" s="25"/>
      <c r="AP171" s="25"/>
      <c r="AQ171" s="25"/>
      <c r="AR171" s="25"/>
      <c r="AS171" s="25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  <c r="BF171" s="25"/>
      <c r="BG171" s="25"/>
      <c r="BH171" s="25"/>
      <c r="BI171" s="25"/>
      <c r="BJ171" s="25"/>
      <c r="BK171" s="25"/>
      <c r="BL171" s="25"/>
      <c r="BM171" s="25"/>
      <c r="BN171" s="25"/>
      <c r="BO171" s="25"/>
      <c r="BP171" s="25"/>
      <c r="BQ171" s="25"/>
      <c r="BR171" s="25"/>
      <c r="BS171" s="25"/>
      <c r="BT171" s="25"/>
      <c r="BU171" s="25"/>
      <c r="BV171" s="25"/>
      <c r="BW171" s="25"/>
      <c r="BX171" s="25"/>
      <c r="BY171" s="25"/>
      <c r="BZ171" s="25"/>
      <c r="CA171" s="25"/>
      <c r="CB171" s="25"/>
      <c r="CC171" s="25"/>
      <c r="CD171" s="25"/>
      <c r="CE171" s="25"/>
      <c r="CF171" s="25"/>
      <c r="CG171" s="25"/>
      <c r="CH171" s="25"/>
      <c r="CI171" s="25"/>
      <c r="CJ171" s="25"/>
      <c r="CK171" s="25"/>
      <c r="CL171" s="25"/>
      <c r="CM171" s="25"/>
      <c r="CN171" s="25"/>
      <c r="CO171" s="25"/>
      <c r="CP171" s="25"/>
      <c r="CQ171" s="25"/>
      <c r="CR171" s="25"/>
      <c r="CS171" s="25"/>
      <c r="CT171" s="25"/>
      <c r="CU171" s="25"/>
      <c r="CV171" s="25"/>
      <c r="CW171" s="25"/>
      <c r="CX171" s="25"/>
      <c r="CY171" s="25"/>
      <c r="CZ171" s="25"/>
      <c r="DA171" s="25"/>
      <c r="DB171" s="25"/>
      <c r="DC171" s="25"/>
      <c r="DD171" s="25"/>
      <c r="DE171" s="25"/>
      <c r="DF171" s="25"/>
      <c r="DG171" s="25"/>
      <c r="DH171" s="25"/>
      <c r="DI171" s="25"/>
      <c r="DJ171" s="25"/>
      <c r="DK171" s="25"/>
      <c r="DL171" s="25"/>
      <c r="DM171" s="25"/>
      <c r="DN171" s="25"/>
      <c r="DO171" s="25"/>
      <c r="DP171" s="25"/>
      <c r="DQ171" s="25"/>
    </row>
    <row r="172" spans="1:121" s="125" customFormat="1" ht="24.95" customHeight="1" x14ac:dyDescent="0.25">
      <c r="A172" s="433">
        <v>230</v>
      </c>
      <c r="B172" s="907">
        <v>2229</v>
      </c>
      <c r="C172" s="906">
        <v>6121</v>
      </c>
      <c r="D172" s="1237">
        <v>3211</v>
      </c>
      <c r="E172" s="869" t="s">
        <v>417</v>
      </c>
      <c r="F172" s="439"/>
      <c r="G172" s="440">
        <v>400</v>
      </c>
      <c r="H172" s="440">
        <v>2005</v>
      </c>
      <c r="I172" s="441">
        <v>2020</v>
      </c>
      <c r="J172" s="442">
        <f t="shared" si="32"/>
        <v>4313</v>
      </c>
      <c r="K172" s="443">
        <v>313</v>
      </c>
      <c r="L172" s="444">
        <v>0</v>
      </c>
      <c r="M172" s="997">
        <f t="shared" si="33"/>
        <v>2000</v>
      </c>
      <c r="N172" s="446">
        <v>2000</v>
      </c>
      <c r="O172" s="447">
        <v>0</v>
      </c>
      <c r="P172" s="448">
        <v>0</v>
      </c>
      <c r="Q172" s="444">
        <v>0</v>
      </c>
      <c r="R172" s="449">
        <v>1000</v>
      </c>
      <c r="S172" s="448">
        <v>0</v>
      </c>
      <c r="T172" s="444">
        <v>0</v>
      </c>
      <c r="U172" s="449">
        <v>1000</v>
      </c>
      <c r="V172" s="448">
        <v>0</v>
      </c>
      <c r="W172" s="444">
        <v>0</v>
      </c>
      <c r="X172" s="449">
        <v>0</v>
      </c>
      <c r="Y172" s="448">
        <v>0</v>
      </c>
      <c r="Z172" s="492">
        <v>0</v>
      </c>
      <c r="AA172" s="493">
        <v>0</v>
      </c>
      <c r="AB172" s="25"/>
      <c r="AC172" s="25"/>
      <c r="AD172" s="25"/>
      <c r="AE172" s="25"/>
      <c r="AF172" s="25"/>
      <c r="AG172" s="25"/>
      <c r="AH172" s="25"/>
      <c r="AI172" s="25"/>
      <c r="AJ172" s="25"/>
      <c r="AK172" s="25"/>
      <c r="AL172" s="25"/>
      <c r="AM172" s="25"/>
      <c r="AN172" s="25"/>
      <c r="AO172" s="25"/>
      <c r="AP172" s="25"/>
      <c r="AQ172" s="25"/>
      <c r="AR172" s="25"/>
      <c r="AS172" s="25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  <c r="BF172" s="25"/>
      <c r="BG172" s="25"/>
      <c r="BH172" s="25"/>
      <c r="BI172" s="25"/>
      <c r="BJ172" s="25"/>
      <c r="BK172" s="25"/>
      <c r="BL172" s="25"/>
      <c r="BM172" s="25"/>
      <c r="BN172" s="25"/>
      <c r="BO172" s="25"/>
      <c r="BP172" s="25"/>
      <c r="BQ172" s="25"/>
      <c r="BR172" s="25"/>
      <c r="BS172" s="25"/>
      <c r="BT172" s="25"/>
      <c r="BU172" s="25"/>
      <c r="BV172" s="25"/>
      <c r="BW172" s="25"/>
      <c r="BX172" s="25"/>
      <c r="BY172" s="25"/>
      <c r="BZ172" s="25"/>
      <c r="CA172" s="25"/>
      <c r="CB172" s="25"/>
      <c r="CC172" s="25"/>
      <c r="CD172" s="25"/>
      <c r="CE172" s="25"/>
      <c r="CF172" s="25"/>
      <c r="CG172" s="25"/>
      <c r="CH172" s="25"/>
      <c r="CI172" s="25"/>
      <c r="CJ172" s="25"/>
      <c r="CK172" s="25"/>
      <c r="CL172" s="25"/>
      <c r="CM172" s="25"/>
      <c r="CN172" s="25"/>
      <c r="CO172" s="25"/>
      <c r="CP172" s="25"/>
      <c r="CQ172" s="25"/>
      <c r="CR172" s="25"/>
      <c r="CS172" s="25"/>
      <c r="CT172" s="25"/>
      <c r="CU172" s="25"/>
      <c r="CV172" s="25"/>
      <c r="CW172" s="25"/>
      <c r="CX172" s="25"/>
      <c r="CY172" s="25"/>
      <c r="CZ172" s="25"/>
      <c r="DA172" s="25"/>
      <c r="DB172" s="25"/>
      <c r="DC172" s="25"/>
      <c r="DD172" s="25"/>
      <c r="DE172" s="25"/>
      <c r="DF172" s="25"/>
      <c r="DG172" s="25"/>
      <c r="DH172" s="25"/>
      <c r="DI172" s="25"/>
      <c r="DJ172" s="25"/>
      <c r="DK172" s="25"/>
      <c r="DL172" s="25"/>
      <c r="DM172" s="25"/>
      <c r="DN172" s="25"/>
      <c r="DO172" s="25"/>
      <c r="DP172" s="25"/>
      <c r="DQ172" s="25"/>
    </row>
    <row r="173" spans="1:121" s="558" customFormat="1" ht="24.95" customHeight="1" x14ac:dyDescent="0.25">
      <c r="A173" s="924">
        <v>230</v>
      </c>
      <c r="B173" s="727">
        <v>2229</v>
      </c>
      <c r="C173" s="728">
        <v>6121</v>
      </c>
      <c r="D173" s="1237">
        <v>3243</v>
      </c>
      <c r="E173" s="869" t="s">
        <v>416</v>
      </c>
      <c r="F173" s="765" t="s">
        <v>127</v>
      </c>
      <c r="G173" s="440">
        <v>400</v>
      </c>
      <c r="H173" s="440">
        <v>2019</v>
      </c>
      <c r="I173" s="441">
        <v>2021</v>
      </c>
      <c r="J173" s="442">
        <f t="shared" si="32"/>
        <v>19500</v>
      </c>
      <c r="K173" s="443">
        <v>0</v>
      </c>
      <c r="L173" s="444">
        <v>240</v>
      </c>
      <c r="M173" s="445">
        <f t="shared" si="33"/>
        <v>860</v>
      </c>
      <c r="N173" s="446">
        <v>310</v>
      </c>
      <c r="O173" s="447">
        <v>550</v>
      </c>
      <c r="P173" s="448">
        <v>0</v>
      </c>
      <c r="Q173" s="444">
        <v>0</v>
      </c>
      <c r="R173" s="449">
        <v>11000</v>
      </c>
      <c r="S173" s="448">
        <v>0</v>
      </c>
      <c r="T173" s="444">
        <v>0</v>
      </c>
      <c r="U173" s="449">
        <v>7400</v>
      </c>
      <c r="V173" s="448">
        <v>0</v>
      </c>
      <c r="W173" s="444">
        <v>0</v>
      </c>
      <c r="X173" s="449">
        <v>0</v>
      </c>
      <c r="Y173" s="448">
        <v>0</v>
      </c>
      <c r="Z173" s="492">
        <v>0</v>
      </c>
      <c r="AA173" s="493">
        <v>0</v>
      </c>
      <c r="AB173" s="30"/>
      <c r="AC173" s="30"/>
      <c r="AD173" s="30"/>
      <c r="AE173" s="30"/>
      <c r="AF173" s="25"/>
      <c r="AG173" s="25"/>
      <c r="AH173" s="25"/>
      <c r="AI173" s="25"/>
      <c r="AJ173" s="25"/>
      <c r="AK173" s="25"/>
      <c r="AL173" s="25"/>
      <c r="AM173" s="25"/>
      <c r="AN173" s="25"/>
      <c r="AO173" s="25"/>
      <c r="AP173" s="25"/>
      <c r="AQ173" s="25"/>
      <c r="AR173" s="25"/>
      <c r="AS173" s="25"/>
      <c r="AT173" s="25"/>
      <c r="AU173" s="25"/>
      <c r="AV173" s="25"/>
      <c r="AW173" s="25"/>
      <c r="AX173" s="25"/>
      <c r="AY173" s="25"/>
      <c r="AZ173" s="25"/>
      <c r="BA173" s="25"/>
      <c r="BB173" s="25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5"/>
      <c r="BT173" s="25"/>
      <c r="BU173" s="25"/>
      <c r="BV173" s="25"/>
      <c r="BW173" s="25"/>
      <c r="BX173" s="25"/>
      <c r="BY173" s="25"/>
      <c r="BZ173" s="25"/>
      <c r="CA173" s="25"/>
      <c r="CB173" s="25"/>
      <c r="CC173" s="25"/>
      <c r="CD173" s="25"/>
      <c r="CE173" s="25"/>
      <c r="CF173" s="25"/>
      <c r="CG173" s="25"/>
      <c r="CH173" s="25"/>
      <c r="CI173" s="25"/>
      <c r="CJ173" s="25"/>
      <c r="CK173" s="25"/>
      <c r="CL173" s="25"/>
      <c r="CM173" s="25"/>
      <c r="CN173" s="25"/>
      <c r="CO173" s="25"/>
      <c r="CP173" s="25"/>
      <c r="CQ173" s="25"/>
      <c r="CR173" s="25"/>
      <c r="CS173" s="25"/>
      <c r="CT173" s="25"/>
      <c r="CU173" s="25"/>
      <c r="CV173" s="25"/>
      <c r="CW173" s="25"/>
      <c r="CX173" s="25"/>
      <c r="CY173" s="25"/>
      <c r="CZ173" s="25"/>
      <c r="DA173" s="25"/>
      <c r="DB173" s="25"/>
      <c r="DC173" s="25"/>
      <c r="DD173" s="25"/>
      <c r="DE173" s="25"/>
      <c r="DF173" s="25"/>
      <c r="DG173" s="25"/>
      <c r="DH173" s="25"/>
      <c r="DI173" s="25"/>
      <c r="DJ173" s="25"/>
      <c r="DK173" s="25"/>
      <c r="DL173" s="25"/>
      <c r="DM173" s="25"/>
      <c r="DN173" s="25"/>
      <c r="DO173" s="25"/>
      <c r="DP173" s="25"/>
      <c r="DQ173" s="25"/>
    </row>
    <row r="174" spans="1:121" s="23" customFormat="1" ht="24.95" customHeight="1" x14ac:dyDescent="0.25">
      <c r="A174" s="881">
        <v>230</v>
      </c>
      <c r="B174" s="781">
        <v>2271</v>
      </c>
      <c r="C174" s="782">
        <v>6121</v>
      </c>
      <c r="D174" s="1238">
        <v>3245</v>
      </c>
      <c r="E174" s="796" t="s">
        <v>415</v>
      </c>
      <c r="F174" s="921" t="s">
        <v>414</v>
      </c>
      <c r="G174" s="111">
        <v>400</v>
      </c>
      <c r="H174" s="111">
        <v>2018</v>
      </c>
      <c r="I174" s="112">
        <v>2021</v>
      </c>
      <c r="J174" s="462">
        <f t="shared" si="32"/>
        <v>96100</v>
      </c>
      <c r="K174" s="463">
        <v>0</v>
      </c>
      <c r="L174" s="464">
        <v>301</v>
      </c>
      <c r="M174" s="465">
        <f t="shared" si="33"/>
        <v>2000</v>
      </c>
      <c r="N174" s="466">
        <v>0</v>
      </c>
      <c r="O174" s="475">
        <f>2000</f>
        <v>2000</v>
      </c>
      <c r="P174" s="467">
        <v>0</v>
      </c>
      <c r="Q174" s="464">
        <v>0</v>
      </c>
      <c r="R174" s="469">
        <v>16000</v>
      </c>
      <c r="S174" s="467">
        <v>0</v>
      </c>
      <c r="T174" s="464">
        <v>0</v>
      </c>
      <c r="U174" s="469">
        <v>15000</v>
      </c>
      <c r="V174" s="467">
        <v>0</v>
      </c>
      <c r="W174" s="464">
        <v>0</v>
      </c>
      <c r="X174" s="469">
        <v>62799</v>
      </c>
      <c r="Y174" s="467">
        <v>0</v>
      </c>
      <c r="Z174" s="468">
        <v>0</v>
      </c>
      <c r="AA174" s="478">
        <v>0</v>
      </c>
      <c r="AB174" s="30"/>
      <c r="AC174" s="30"/>
      <c r="AD174" s="30"/>
      <c r="AE174" s="30"/>
      <c r="AF174" s="25"/>
      <c r="AG174" s="25"/>
      <c r="AH174" s="25"/>
      <c r="AI174" s="25"/>
      <c r="AJ174" s="25"/>
      <c r="AK174" s="25"/>
      <c r="AL174" s="25"/>
      <c r="AM174" s="25"/>
      <c r="AN174" s="25"/>
      <c r="AO174" s="25"/>
      <c r="AP174" s="25"/>
      <c r="AQ174" s="25"/>
      <c r="AR174" s="25"/>
      <c r="AS174" s="25"/>
      <c r="AT174" s="25"/>
      <c r="AU174" s="25"/>
      <c r="AV174" s="25"/>
      <c r="AW174" s="25"/>
      <c r="AX174" s="25"/>
      <c r="AY174" s="25"/>
      <c r="AZ174" s="25"/>
      <c r="BA174" s="25"/>
      <c r="BB174" s="25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5"/>
      <c r="BT174" s="25"/>
      <c r="BU174" s="25"/>
      <c r="BV174" s="25"/>
      <c r="BW174" s="25"/>
      <c r="BX174" s="25"/>
      <c r="BY174" s="25"/>
      <c r="BZ174" s="25"/>
      <c r="CA174" s="25"/>
      <c r="CB174" s="25"/>
      <c r="CC174" s="25"/>
      <c r="CD174" s="25"/>
      <c r="CE174" s="25"/>
      <c r="CF174" s="25"/>
      <c r="CG174" s="25"/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25"/>
      <c r="CT174" s="25"/>
      <c r="CU174" s="25"/>
      <c r="CV174" s="25"/>
      <c r="CW174" s="25"/>
      <c r="CX174" s="25"/>
      <c r="CY174" s="25"/>
      <c r="CZ174" s="25"/>
      <c r="DA174" s="25"/>
      <c r="DB174" s="25"/>
      <c r="DC174" s="25"/>
      <c r="DD174" s="25"/>
      <c r="DE174" s="25"/>
      <c r="DF174" s="25"/>
      <c r="DG174" s="25"/>
      <c r="DH174" s="25"/>
      <c r="DI174" s="25"/>
      <c r="DJ174" s="25"/>
      <c r="DK174" s="25"/>
      <c r="DL174" s="25"/>
      <c r="DM174" s="25"/>
      <c r="DN174" s="25"/>
      <c r="DO174" s="25"/>
      <c r="DP174" s="25"/>
      <c r="DQ174" s="25"/>
    </row>
    <row r="175" spans="1:121" s="202" customFormat="1" ht="24.95" customHeight="1" x14ac:dyDescent="0.25">
      <c r="A175" s="943">
        <v>230</v>
      </c>
      <c r="B175" s="555">
        <v>2334</v>
      </c>
      <c r="C175" s="490">
        <v>6121</v>
      </c>
      <c r="D175" s="1239">
        <v>7272</v>
      </c>
      <c r="E175" s="1239" t="s">
        <v>413</v>
      </c>
      <c r="F175" s="765" t="s">
        <v>142</v>
      </c>
      <c r="G175" s="936">
        <v>400</v>
      </c>
      <c r="H175" s="936">
        <v>2013</v>
      </c>
      <c r="I175" s="945">
        <v>2019</v>
      </c>
      <c r="J175" s="442">
        <f t="shared" si="32"/>
        <v>3001</v>
      </c>
      <c r="K175" s="443">
        <v>200</v>
      </c>
      <c r="L175" s="444">
        <v>136</v>
      </c>
      <c r="M175" s="445">
        <f t="shared" si="33"/>
        <v>2665</v>
      </c>
      <c r="N175" s="446">
        <v>178</v>
      </c>
      <c r="O175" s="447">
        <v>2487</v>
      </c>
      <c r="P175" s="448">
        <v>0</v>
      </c>
      <c r="Q175" s="444">
        <v>0</v>
      </c>
      <c r="R175" s="505">
        <v>0</v>
      </c>
      <c r="S175" s="994">
        <v>0</v>
      </c>
      <c r="T175" s="993">
        <v>0</v>
      </c>
      <c r="U175" s="505">
        <v>0</v>
      </c>
      <c r="V175" s="992">
        <v>0</v>
      </c>
      <c r="W175" s="993">
        <v>0</v>
      </c>
      <c r="X175" s="541">
        <v>0</v>
      </c>
      <c r="Y175" s="992">
        <v>0</v>
      </c>
      <c r="Z175" s="1174">
        <v>0</v>
      </c>
      <c r="AA175" s="1200">
        <v>0</v>
      </c>
      <c r="AB175" s="25"/>
      <c r="AC175" s="25"/>
      <c r="AD175" s="25"/>
      <c r="AE175" s="25"/>
      <c r="AF175" s="25"/>
      <c r="AG175" s="25"/>
      <c r="AH175" s="25"/>
      <c r="AI175" s="25"/>
      <c r="AJ175" s="25"/>
      <c r="AK175" s="25"/>
      <c r="AL175" s="25"/>
      <c r="AM175" s="25"/>
      <c r="AN175" s="25"/>
      <c r="AO175" s="25"/>
      <c r="AP175" s="25"/>
      <c r="AQ175" s="25"/>
      <c r="AR175" s="25"/>
      <c r="AS175" s="25"/>
      <c r="AT175" s="25"/>
      <c r="AU175" s="25"/>
      <c r="AV175" s="25"/>
      <c r="AW175" s="25"/>
      <c r="AX175" s="25"/>
      <c r="AY175" s="25"/>
      <c r="AZ175" s="25"/>
      <c r="BA175" s="25"/>
      <c r="BB175" s="25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5"/>
      <c r="BT175" s="25"/>
      <c r="BU175" s="25"/>
      <c r="BV175" s="25"/>
      <c r="BW175" s="25"/>
      <c r="BX175" s="25"/>
      <c r="BY175" s="25"/>
      <c r="BZ175" s="25"/>
      <c r="CA175" s="25"/>
      <c r="CB175" s="25"/>
      <c r="CC175" s="25"/>
      <c r="CD175" s="25"/>
      <c r="CE175" s="25"/>
      <c r="CF175" s="25"/>
      <c r="CG175" s="25"/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25"/>
      <c r="CT175" s="25"/>
      <c r="CU175" s="25"/>
      <c r="CV175" s="25"/>
      <c r="CW175" s="25"/>
      <c r="CX175" s="25"/>
      <c r="CY175" s="25"/>
      <c r="CZ175" s="25"/>
      <c r="DA175" s="25"/>
      <c r="DB175" s="25"/>
      <c r="DC175" s="25"/>
      <c r="DD175" s="25"/>
      <c r="DE175" s="25"/>
      <c r="DF175" s="25"/>
      <c r="DG175" s="25"/>
      <c r="DH175" s="25"/>
      <c r="DI175" s="25"/>
      <c r="DJ175" s="25"/>
      <c r="DK175" s="25"/>
      <c r="DL175" s="25"/>
      <c r="DM175" s="25"/>
      <c r="DN175" s="25"/>
      <c r="DO175" s="25"/>
      <c r="DP175" s="25"/>
      <c r="DQ175" s="25"/>
    </row>
    <row r="176" spans="1:121" s="26" customFormat="1" ht="24.95" customHeight="1" x14ac:dyDescent="0.25">
      <c r="A176" s="927">
        <v>230</v>
      </c>
      <c r="B176" s="996">
        <v>2334</v>
      </c>
      <c r="C176" s="995">
        <v>6121</v>
      </c>
      <c r="D176" s="1240">
        <v>8209</v>
      </c>
      <c r="E176" s="1223" t="s">
        <v>412</v>
      </c>
      <c r="F176" s="765" t="s">
        <v>127</v>
      </c>
      <c r="G176" s="936">
        <v>400</v>
      </c>
      <c r="H176" s="936">
        <v>2016</v>
      </c>
      <c r="I176" s="945">
        <v>2020</v>
      </c>
      <c r="J176" s="462">
        <f t="shared" si="32"/>
        <v>20010.240550900002</v>
      </c>
      <c r="K176" s="443">
        <v>12836.2405509</v>
      </c>
      <c r="L176" s="444">
        <v>5508</v>
      </c>
      <c r="M176" s="465">
        <f t="shared" si="33"/>
        <v>1666</v>
      </c>
      <c r="N176" s="446">
        <f>1699-33</f>
        <v>1666</v>
      </c>
      <c r="O176" s="447">
        <v>0</v>
      </c>
      <c r="P176" s="448">
        <v>0</v>
      </c>
      <c r="Q176" s="444">
        <v>0</v>
      </c>
      <c r="R176" s="505">
        <v>0</v>
      </c>
      <c r="S176" s="994">
        <v>0</v>
      </c>
      <c r="T176" s="993">
        <v>0</v>
      </c>
      <c r="U176" s="505">
        <v>0</v>
      </c>
      <c r="V176" s="992">
        <v>0</v>
      </c>
      <c r="W176" s="993">
        <v>0</v>
      </c>
      <c r="X176" s="541">
        <v>0</v>
      </c>
      <c r="Y176" s="992">
        <v>0</v>
      </c>
      <c r="Z176" s="1174">
        <v>0</v>
      </c>
      <c r="AA176" s="1200">
        <v>0</v>
      </c>
      <c r="AB176" s="25"/>
      <c r="AC176" s="25"/>
      <c r="AD176" s="25"/>
      <c r="AE176" s="25"/>
      <c r="AF176" s="25"/>
      <c r="AG176" s="25"/>
      <c r="AH176" s="25"/>
      <c r="AI176" s="25"/>
      <c r="AJ176" s="25"/>
      <c r="AK176" s="25"/>
      <c r="AL176" s="25"/>
      <c r="AM176" s="25"/>
      <c r="AN176" s="25"/>
      <c r="AO176" s="25"/>
      <c r="AP176" s="25"/>
      <c r="AQ176" s="25"/>
      <c r="AR176" s="25"/>
      <c r="AS176" s="25"/>
      <c r="AT176" s="25"/>
      <c r="AU176" s="25"/>
      <c r="AV176" s="25"/>
      <c r="AW176" s="25"/>
      <c r="AX176" s="25"/>
      <c r="AY176" s="25"/>
      <c r="AZ176" s="25"/>
      <c r="BA176" s="25"/>
      <c r="BB176" s="25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5"/>
      <c r="BT176" s="25"/>
      <c r="BU176" s="25"/>
      <c r="BV176" s="25"/>
      <c r="BW176" s="25"/>
      <c r="BX176" s="25"/>
      <c r="BY176" s="25"/>
      <c r="BZ176" s="25"/>
      <c r="CA176" s="25"/>
      <c r="CB176" s="25"/>
      <c r="CC176" s="25"/>
      <c r="CD176" s="25"/>
      <c r="CE176" s="25"/>
      <c r="CF176" s="25"/>
      <c r="CG176" s="25"/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25"/>
      <c r="CT176" s="25"/>
      <c r="CU176" s="25"/>
      <c r="CV176" s="25"/>
      <c r="CW176" s="25"/>
      <c r="CX176" s="25"/>
      <c r="CY176" s="25"/>
      <c r="CZ176" s="25"/>
      <c r="DA176" s="25"/>
      <c r="DB176" s="25"/>
      <c r="DC176" s="25"/>
      <c r="DD176" s="25"/>
      <c r="DE176" s="25"/>
      <c r="DF176" s="25"/>
      <c r="DG176" s="25"/>
      <c r="DH176" s="25"/>
      <c r="DI176" s="25"/>
      <c r="DJ176" s="25"/>
      <c r="DK176" s="25"/>
      <c r="DL176" s="25"/>
      <c r="DM176" s="25"/>
      <c r="DN176" s="25"/>
      <c r="DO176" s="25"/>
      <c r="DP176" s="25"/>
      <c r="DQ176" s="25"/>
    </row>
    <row r="177" spans="1:121" s="26" customFormat="1" ht="24.95" customHeight="1" x14ac:dyDescent="0.25">
      <c r="A177" s="927">
        <v>230</v>
      </c>
      <c r="B177" s="666">
        <v>2334</v>
      </c>
      <c r="C177" s="667">
        <v>6121</v>
      </c>
      <c r="D177" s="1241">
        <v>8210</v>
      </c>
      <c r="E177" s="1242" t="s">
        <v>411</v>
      </c>
      <c r="F177" s="383" t="s">
        <v>127</v>
      </c>
      <c r="G177" s="111">
        <v>400</v>
      </c>
      <c r="H177" s="979">
        <v>2016</v>
      </c>
      <c r="I177" s="978">
        <v>2020</v>
      </c>
      <c r="J177" s="462">
        <f t="shared" si="32"/>
        <v>52397</v>
      </c>
      <c r="K177" s="463">
        <v>182</v>
      </c>
      <c r="L177" s="464">
        <v>1036</v>
      </c>
      <c r="M177" s="465">
        <f t="shared" si="33"/>
        <v>6579</v>
      </c>
      <c r="N177" s="466">
        <v>6579</v>
      </c>
      <c r="O177" s="475">
        <v>0</v>
      </c>
      <c r="P177" s="467">
        <v>0</v>
      </c>
      <c r="Q177" s="464">
        <v>0</v>
      </c>
      <c r="R177" s="469">
        <v>44600</v>
      </c>
      <c r="S177" s="467">
        <v>0</v>
      </c>
      <c r="T177" s="464">
        <v>0</v>
      </c>
      <c r="U177" s="469">
        <v>0</v>
      </c>
      <c r="V177" s="467">
        <v>0</v>
      </c>
      <c r="W177" s="464">
        <v>0</v>
      </c>
      <c r="X177" s="469">
        <v>0</v>
      </c>
      <c r="Y177" s="467">
        <v>0</v>
      </c>
      <c r="Z177" s="468">
        <v>0</v>
      </c>
      <c r="AA177" s="478">
        <v>0</v>
      </c>
      <c r="AB177" s="25"/>
      <c r="AC177" s="25"/>
      <c r="AD177" s="25"/>
      <c r="AE177" s="25"/>
      <c r="AF177" s="25"/>
      <c r="AG177" s="25"/>
      <c r="AH177" s="25"/>
      <c r="AI177" s="25"/>
      <c r="AJ177" s="25"/>
      <c r="AK177" s="25"/>
      <c r="AL177" s="25"/>
      <c r="AM177" s="25"/>
      <c r="AN177" s="25"/>
      <c r="AO177" s="25"/>
      <c r="AP177" s="25"/>
      <c r="AQ177" s="25"/>
      <c r="AR177" s="25"/>
      <c r="AS177" s="25"/>
      <c r="AT177" s="25"/>
      <c r="AU177" s="25"/>
      <c r="AV177" s="25"/>
      <c r="AW177" s="25"/>
      <c r="AX177" s="25"/>
      <c r="AY177" s="25"/>
      <c r="AZ177" s="25"/>
      <c r="BA177" s="25"/>
      <c r="BB177" s="25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5"/>
      <c r="BT177" s="25"/>
      <c r="BU177" s="25"/>
      <c r="BV177" s="25"/>
      <c r="BW177" s="25"/>
      <c r="BX177" s="25"/>
      <c r="BY177" s="25"/>
      <c r="BZ177" s="25"/>
      <c r="CA177" s="25"/>
      <c r="CB177" s="25"/>
      <c r="CC177" s="25"/>
      <c r="CD177" s="25"/>
      <c r="CE177" s="25"/>
      <c r="CF177" s="25"/>
      <c r="CG177" s="25"/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25"/>
      <c r="CT177" s="25"/>
      <c r="CU177" s="25"/>
      <c r="CV177" s="25"/>
      <c r="CW177" s="25"/>
      <c r="CX177" s="25"/>
      <c r="CY177" s="25"/>
      <c r="CZ177" s="25"/>
      <c r="DA177" s="25"/>
      <c r="DB177" s="25"/>
      <c r="DC177" s="25"/>
      <c r="DD177" s="25"/>
      <c r="DE177" s="25"/>
      <c r="DF177" s="25"/>
      <c r="DG177" s="25"/>
      <c r="DH177" s="25"/>
      <c r="DI177" s="25"/>
      <c r="DJ177" s="25"/>
      <c r="DK177" s="25"/>
      <c r="DL177" s="25"/>
      <c r="DM177" s="25"/>
      <c r="DN177" s="25"/>
      <c r="DO177" s="25"/>
      <c r="DP177" s="25"/>
      <c r="DQ177" s="25"/>
    </row>
    <row r="178" spans="1:121" s="558" customFormat="1" ht="24.95" customHeight="1" x14ac:dyDescent="0.25">
      <c r="A178" s="924">
        <v>230</v>
      </c>
      <c r="B178" s="781">
        <v>2334</v>
      </c>
      <c r="C178" s="782">
        <v>6121</v>
      </c>
      <c r="D178" s="1232">
        <v>8213</v>
      </c>
      <c r="E178" s="1239" t="s">
        <v>410</v>
      </c>
      <c r="F178" s="991"/>
      <c r="G178" s="111">
        <v>400</v>
      </c>
      <c r="H178" s="111">
        <v>2017</v>
      </c>
      <c r="I178" s="557">
        <v>2022</v>
      </c>
      <c r="J178" s="462">
        <f t="shared" si="32"/>
        <v>202192</v>
      </c>
      <c r="K178" s="463">
        <v>0</v>
      </c>
      <c r="L178" s="464">
        <v>827</v>
      </c>
      <c r="M178" s="465">
        <f t="shared" si="33"/>
        <v>1365</v>
      </c>
      <c r="N178" s="466">
        <v>365</v>
      </c>
      <c r="O178" s="475">
        <v>1000</v>
      </c>
      <c r="P178" s="467">
        <v>0</v>
      </c>
      <c r="Q178" s="464">
        <v>0</v>
      </c>
      <c r="R178" s="469">
        <v>0</v>
      </c>
      <c r="S178" s="467">
        <v>0</v>
      </c>
      <c r="T178" s="464">
        <v>0</v>
      </c>
      <c r="U178" s="469">
        <v>0</v>
      </c>
      <c r="V178" s="467">
        <v>0</v>
      </c>
      <c r="W178" s="464">
        <v>0</v>
      </c>
      <c r="X178" s="469">
        <f>200000-150000</f>
        <v>50000</v>
      </c>
      <c r="Y178" s="467">
        <v>0</v>
      </c>
      <c r="Z178" s="468">
        <v>0</v>
      </c>
      <c r="AA178" s="478">
        <v>150000</v>
      </c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5"/>
      <c r="BT178" s="25"/>
      <c r="BU178" s="25"/>
      <c r="BV178" s="25"/>
      <c r="BW178" s="25"/>
      <c r="BX178" s="25"/>
      <c r="BY178" s="25"/>
      <c r="BZ178" s="25"/>
      <c r="CA178" s="25"/>
      <c r="CB178" s="25"/>
      <c r="CC178" s="25"/>
      <c r="CD178" s="25"/>
      <c r="CE178" s="25"/>
      <c r="CF178" s="25"/>
      <c r="CG178" s="25"/>
      <c r="CH178" s="25"/>
      <c r="CI178" s="25"/>
      <c r="CJ178" s="25"/>
      <c r="CK178" s="25"/>
      <c r="CL178" s="25"/>
      <c r="CM178" s="25"/>
      <c r="CN178" s="25"/>
      <c r="CO178" s="25"/>
      <c r="CP178" s="25"/>
      <c r="CQ178" s="25"/>
      <c r="CR178" s="25"/>
      <c r="CS178" s="25"/>
      <c r="CT178" s="25"/>
      <c r="CU178" s="25"/>
      <c r="CV178" s="25"/>
      <c r="CW178" s="25"/>
      <c r="CX178" s="25"/>
      <c r="CY178" s="25"/>
      <c r="CZ178" s="25"/>
      <c r="DA178" s="25"/>
      <c r="DB178" s="25"/>
      <c r="DC178" s="25"/>
      <c r="DD178" s="25"/>
      <c r="DE178" s="25"/>
      <c r="DF178" s="25"/>
      <c r="DG178" s="25"/>
      <c r="DH178" s="25"/>
      <c r="DI178" s="25"/>
      <c r="DJ178" s="25"/>
      <c r="DK178" s="25"/>
      <c r="DL178" s="25"/>
      <c r="DM178" s="25"/>
      <c r="DN178" s="25"/>
      <c r="DO178" s="25"/>
      <c r="DP178" s="25"/>
      <c r="DQ178" s="25"/>
    </row>
    <row r="179" spans="1:121" s="31" customFormat="1" ht="24.95" customHeight="1" x14ac:dyDescent="0.25">
      <c r="A179" s="600">
        <v>230</v>
      </c>
      <c r="B179" s="990">
        <v>3111</v>
      </c>
      <c r="C179" s="989">
        <v>6121</v>
      </c>
      <c r="D179" s="988">
        <v>6320</v>
      </c>
      <c r="E179" s="890" t="s">
        <v>409</v>
      </c>
      <c r="F179" s="439"/>
      <c r="G179" s="440">
        <v>400</v>
      </c>
      <c r="H179" s="440">
        <v>2016</v>
      </c>
      <c r="I179" s="441">
        <v>2022</v>
      </c>
      <c r="J179" s="442">
        <f t="shared" si="32"/>
        <v>2566</v>
      </c>
      <c r="K179" s="443">
        <v>33</v>
      </c>
      <c r="L179" s="444">
        <v>33</v>
      </c>
      <c r="M179" s="445">
        <f t="shared" si="33"/>
        <v>500</v>
      </c>
      <c r="N179" s="446">
        <v>0</v>
      </c>
      <c r="O179" s="447">
        <v>500</v>
      </c>
      <c r="P179" s="448">
        <v>0</v>
      </c>
      <c r="Q179" s="444">
        <v>0</v>
      </c>
      <c r="R179" s="449">
        <v>500</v>
      </c>
      <c r="S179" s="448">
        <v>0</v>
      </c>
      <c r="T179" s="444">
        <v>0</v>
      </c>
      <c r="U179" s="449">
        <v>500</v>
      </c>
      <c r="V179" s="448">
        <v>0</v>
      </c>
      <c r="W179" s="444">
        <v>0</v>
      </c>
      <c r="X179" s="449">
        <v>500</v>
      </c>
      <c r="Y179" s="448">
        <v>0</v>
      </c>
      <c r="Z179" s="492">
        <v>0</v>
      </c>
      <c r="AA179" s="493">
        <v>500</v>
      </c>
      <c r="AB179" s="986"/>
      <c r="AC179" s="986"/>
      <c r="AD179" s="986"/>
      <c r="AE179" s="986"/>
      <c r="AF179" s="25"/>
      <c r="AG179" s="25"/>
      <c r="AH179" s="25"/>
      <c r="AI179" s="25"/>
      <c r="AJ179" s="25"/>
      <c r="AK179" s="25"/>
      <c r="AL179" s="25"/>
      <c r="AM179" s="25"/>
      <c r="AN179" s="25"/>
      <c r="AO179" s="25"/>
      <c r="AP179" s="25"/>
      <c r="AQ179" s="25"/>
      <c r="AR179" s="25"/>
      <c r="AS179" s="25"/>
      <c r="AT179" s="25"/>
      <c r="AU179" s="25"/>
      <c r="AV179" s="25"/>
      <c r="AW179" s="25"/>
      <c r="AX179" s="25"/>
      <c r="AY179" s="25"/>
      <c r="AZ179" s="25"/>
      <c r="BA179" s="25"/>
      <c r="BB179" s="25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5"/>
      <c r="BT179" s="25"/>
      <c r="BU179" s="25"/>
      <c r="BV179" s="25"/>
      <c r="BW179" s="25"/>
      <c r="BX179" s="25"/>
      <c r="BY179" s="25"/>
      <c r="BZ179" s="25"/>
      <c r="CA179" s="25"/>
      <c r="CB179" s="25"/>
      <c r="CC179" s="25"/>
      <c r="CD179" s="25"/>
      <c r="CE179" s="25"/>
      <c r="CF179" s="25"/>
      <c r="CG179" s="25"/>
      <c r="CH179" s="25"/>
      <c r="CI179" s="25"/>
      <c r="CJ179" s="25"/>
      <c r="CK179" s="25"/>
      <c r="CL179" s="25"/>
      <c r="CM179" s="25"/>
      <c r="CN179" s="25"/>
      <c r="CO179" s="25"/>
      <c r="CP179" s="25"/>
      <c r="CQ179" s="25"/>
      <c r="CR179" s="25"/>
      <c r="CS179" s="25"/>
      <c r="CT179" s="25"/>
      <c r="CU179" s="25"/>
      <c r="CV179" s="25"/>
      <c r="CW179" s="25"/>
      <c r="CX179" s="25"/>
      <c r="CY179" s="25"/>
      <c r="CZ179" s="25"/>
      <c r="DA179" s="25"/>
      <c r="DB179" s="25"/>
      <c r="DC179" s="25"/>
      <c r="DD179" s="25"/>
      <c r="DE179" s="25"/>
      <c r="DF179" s="25"/>
      <c r="DG179" s="25"/>
      <c r="DH179" s="25"/>
      <c r="DI179" s="25"/>
      <c r="DJ179" s="25"/>
      <c r="DK179" s="25"/>
      <c r="DL179" s="25"/>
      <c r="DM179" s="25"/>
      <c r="DN179" s="25"/>
      <c r="DO179" s="25"/>
      <c r="DP179" s="25"/>
      <c r="DQ179" s="25"/>
    </row>
    <row r="180" spans="1:121" s="202" customFormat="1" ht="24.95" customHeight="1" x14ac:dyDescent="0.25">
      <c r="A180" s="980">
        <v>230</v>
      </c>
      <c r="B180" s="907">
        <v>3113</v>
      </c>
      <c r="C180" s="906">
        <v>6121</v>
      </c>
      <c r="D180" s="1243">
        <v>6315</v>
      </c>
      <c r="E180" s="912" t="s">
        <v>408</v>
      </c>
      <c r="F180" s="765" t="s">
        <v>168</v>
      </c>
      <c r="G180" s="440">
        <v>400</v>
      </c>
      <c r="H180" s="440">
        <v>2013</v>
      </c>
      <c r="I180" s="441">
        <v>2019</v>
      </c>
      <c r="J180" s="442">
        <f t="shared" si="32"/>
        <v>22076</v>
      </c>
      <c r="K180" s="443">
        <v>446</v>
      </c>
      <c r="L180" s="444">
        <v>3183</v>
      </c>
      <c r="M180" s="445">
        <f t="shared" si="33"/>
        <v>18447</v>
      </c>
      <c r="N180" s="446">
        <v>6647</v>
      </c>
      <c r="O180" s="447">
        <v>11800</v>
      </c>
      <c r="P180" s="448">
        <v>0</v>
      </c>
      <c r="Q180" s="444">
        <v>0</v>
      </c>
      <c r="R180" s="449">
        <v>0</v>
      </c>
      <c r="S180" s="448">
        <v>0</v>
      </c>
      <c r="T180" s="444">
        <v>0</v>
      </c>
      <c r="U180" s="449">
        <v>0</v>
      </c>
      <c r="V180" s="448">
        <v>0</v>
      </c>
      <c r="W180" s="444">
        <v>0</v>
      </c>
      <c r="X180" s="449">
        <v>0</v>
      </c>
      <c r="Y180" s="448">
        <v>0</v>
      </c>
      <c r="Z180" s="492">
        <v>0</v>
      </c>
      <c r="AA180" s="493">
        <v>0</v>
      </c>
      <c r="AB180" s="987"/>
      <c r="AC180" s="986"/>
      <c r="AD180" s="986"/>
      <c r="AE180" s="986"/>
      <c r="AF180" s="25"/>
      <c r="AG180" s="25"/>
      <c r="AH180" s="25"/>
      <c r="AI180" s="25"/>
      <c r="AJ180" s="25"/>
      <c r="AK180" s="25"/>
      <c r="AL180" s="25"/>
      <c r="AM180" s="25"/>
      <c r="AN180" s="25"/>
      <c r="AO180" s="25"/>
      <c r="AP180" s="25"/>
      <c r="AQ180" s="25"/>
      <c r="AR180" s="25"/>
      <c r="AS180" s="25"/>
      <c r="AT180" s="25"/>
      <c r="AU180" s="25"/>
      <c r="AV180" s="25"/>
      <c r="AW180" s="25"/>
      <c r="AX180" s="25"/>
      <c r="AY180" s="25"/>
      <c r="AZ180" s="25"/>
      <c r="BA180" s="25"/>
      <c r="BB180" s="25"/>
      <c r="BC180" s="25"/>
      <c r="BD180" s="25"/>
      <c r="BE180" s="25"/>
      <c r="BF180" s="25"/>
      <c r="BG180" s="25"/>
      <c r="BH180" s="25"/>
      <c r="BI180" s="25"/>
      <c r="BJ180" s="25"/>
      <c r="BK180" s="25"/>
      <c r="BL180" s="25"/>
      <c r="BM180" s="25"/>
      <c r="BN180" s="25"/>
      <c r="BO180" s="25"/>
      <c r="BP180" s="25"/>
      <c r="BQ180" s="25"/>
      <c r="BR180" s="25"/>
      <c r="BS180" s="25"/>
      <c r="BT180" s="25"/>
      <c r="BU180" s="25"/>
      <c r="BV180" s="25"/>
      <c r="BW180" s="25"/>
      <c r="BX180" s="25"/>
      <c r="BY180" s="25"/>
      <c r="BZ180" s="25"/>
      <c r="CA180" s="25"/>
      <c r="CB180" s="25"/>
      <c r="CC180" s="25"/>
      <c r="CD180" s="25"/>
      <c r="CE180" s="25"/>
      <c r="CF180" s="25"/>
      <c r="CG180" s="25"/>
      <c r="CH180" s="25"/>
      <c r="CI180" s="25"/>
      <c r="CJ180" s="25"/>
      <c r="CK180" s="25"/>
      <c r="CL180" s="25"/>
      <c r="CM180" s="25"/>
      <c r="CN180" s="25"/>
      <c r="CO180" s="25"/>
      <c r="CP180" s="25"/>
      <c r="CQ180" s="25"/>
      <c r="CR180" s="25"/>
      <c r="CS180" s="25"/>
      <c r="CT180" s="25"/>
      <c r="CU180" s="25"/>
      <c r="CV180" s="25"/>
      <c r="CW180" s="25"/>
      <c r="CX180" s="25"/>
      <c r="CY180" s="25"/>
      <c r="CZ180" s="25"/>
      <c r="DA180" s="25"/>
      <c r="DB180" s="25"/>
      <c r="DC180" s="25"/>
      <c r="DD180" s="25"/>
      <c r="DE180" s="25"/>
      <c r="DF180" s="25"/>
      <c r="DG180" s="25"/>
      <c r="DH180" s="25"/>
      <c r="DI180" s="25"/>
      <c r="DJ180" s="25"/>
      <c r="DK180" s="25"/>
      <c r="DL180" s="25"/>
      <c r="DM180" s="25"/>
      <c r="DN180" s="25"/>
      <c r="DO180" s="25"/>
      <c r="DP180" s="25"/>
      <c r="DQ180" s="25"/>
    </row>
    <row r="181" spans="1:121" s="26" customFormat="1" ht="24.95" customHeight="1" x14ac:dyDescent="0.25">
      <c r="A181" s="665">
        <v>230</v>
      </c>
      <c r="B181" s="666">
        <v>3113</v>
      </c>
      <c r="C181" s="667">
        <v>6121</v>
      </c>
      <c r="D181" s="988">
        <v>6321</v>
      </c>
      <c r="E181" s="1205" t="s">
        <v>407</v>
      </c>
      <c r="F181" s="110"/>
      <c r="G181" s="111">
        <v>400</v>
      </c>
      <c r="H181" s="111">
        <v>2016</v>
      </c>
      <c r="I181" s="112">
        <v>2022</v>
      </c>
      <c r="J181" s="462">
        <f t="shared" si="32"/>
        <v>2596</v>
      </c>
      <c r="K181" s="463">
        <v>48</v>
      </c>
      <c r="L181" s="464">
        <v>48</v>
      </c>
      <c r="M181" s="465">
        <f t="shared" si="33"/>
        <v>500</v>
      </c>
      <c r="N181" s="466">
        <v>0</v>
      </c>
      <c r="O181" s="475">
        <v>500</v>
      </c>
      <c r="P181" s="467">
        <v>0</v>
      </c>
      <c r="Q181" s="464">
        <v>0</v>
      </c>
      <c r="R181" s="469">
        <v>500</v>
      </c>
      <c r="S181" s="467">
        <v>0</v>
      </c>
      <c r="T181" s="464">
        <v>0</v>
      </c>
      <c r="U181" s="469">
        <v>500</v>
      </c>
      <c r="V181" s="467">
        <v>0</v>
      </c>
      <c r="W181" s="464">
        <v>0</v>
      </c>
      <c r="X181" s="469">
        <v>500</v>
      </c>
      <c r="Y181" s="467">
        <v>0</v>
      </c>
      <c r="Z181" s="468">
        <v>0</v>
      </c>
      <c r="AA181" s="478">
        <v>500</v>
      </c>
      <c r="AB181" s="987"/>
      <c r="AC181" s="986"/>
      <c r="AD181" s="986"/>
      <c r="AE181" s="986"/>
      <c r="AF181" s="25"/>
      <c r="AG181" s="25"/>
      <c r="AH181" s="25"/>
      <c r="AI181" s="25"/>
      <c r="AJ181" s="25"/>
      <c r="AK181" s="25"/>
      <c r="AL181" s="25"/>
      <c r="AM181" s="25"/>
      <c r="AN181" s="25"/>
      <c r="AO181" s="25"/>
      <c r="AP181" s="25"/>
      <c r="AQ181" s="25"/>
      <c r="AR181" s="25"/>
      <c r="AS181" s="25"/>
      <c r="AT181" s="25"/>
      <c r="AU181" s="25"/>
      <c r="AV181" s="25"/>
      <c r="AW181" s="25"/>
      <c r="AX181" s="25"/>
      <c r="AY181" s="25"/>
      <c r="AZ181" s="25"/>
      <c r="BA181" s="25"/>
      <c r="BB181" s="25"/>
      <c r="BC181" s="25"/>
      <c r="BD181" s="25"/>
      <c r="BE181" s="25"/>
      <c r="BF181" s="25"/>
      <c r="BG181" s="25"/>
      <c r="BH181" s="25"/>
      <c r="BI181" s="25"/>
      <c r="BJ181" s="25"/>
      <c r="BK181" s="25"/>
      <c r="BL181" s="25"/>
      <c r="BM181" s="25"/>
      <c r="BN181" s="25"/>
      <c r="BO181" s="25"/>
      <c r="BP181" s="25"/>
      <c r="BQ181" s="25"/>
      <c r="BR181" s="25"/>
      <c r="BS181" s="25"/>
      <c r="BT181" s="25"/>
      <c r="BU181" s="25"/>
      <c r="BV181" s="25"/>
      <c r="BW181" s="25"/>
      <c r="BX181" s="25"/>
      <c r="BY181" s="25"/>
      <c r="BZ181" s="25"/>
      <c r="CA181" s="25"/>
      <c r="CB181" s="25"/>
      <c r="CC181" s="25"/>
      <c r="CD181" s="25"/>
      <c r="CE181" s="25"/>
      <c r="CF181" s="25"/>
      <c r="CG181" s="25"/>
      <c r="CH181" s="25"/>
      <c r="CI181" s="25"/>
      <c r="CJ181" s="25"/>
      <c r="CK181" s="25"/>
      <c r="CL181" s="25"/>
      <c r="CM181" s="25"/>
      <c r="CN181" s="25"/>
      <c r="CO181" s="25"/>
      <c r="CP181" s="25"/>
      <c r="CQ181" s="25"/>
      <c r="CR181" s="25"/>
      <c r="CS181" s="25"/>
      <c r="CT181" s="25"/>
      <c r="CU181" s="25"/>
      <c r="CV181" s="25"/>
      <c r="CW181" s="25"/>
      <c r="CX181" s="25"/>
      <c r="CY181" s="25"/>
      <c r="CZ181" s="25"/>
      <c r="DA181" s="25"/>
      <c r="DB181" s="25"/>
      <c r="DC181" s="25"/>
      <c r="DD181" s="25"/>
      <c r="DE181" s="25"/>
      <c r="DF181" s="25"/>
      <c r="DG181" s="25"/>
      <c r="DH181" s="25"/>
      <c r="DI181" s="25"/>
      <c r="DJ181" s="25"/>
      <c r="DK181" s="25"/>
      <c r="DL181" s="25"/>
      <c r="DM181" s="25"/>
      <c r="DN181" s="25"/>
      <c r="DO181" s="25"/>
      <c r="DP181" s="25"/>
      <c r="DQ181" s="25"/>
    </row>
    <row r="182" spans="1:121" s="26" customFormat="1" ht="24.95" customHeight="1" x14ac:dyDescent="0.25">
      <c r="A182" s="665">
        <v>230</v>
      </c>
      <c r="B182" s="666">
        <v>3233</v>
      </c>
      <c r="C182" s="667">
        <v>6121</v>
      </c>
      <c r="D182" s="1243">
        <v>6324</v>
      </c>
      <c r="E182" s="694" t="s">
        <v>406</v>
      </c>
      <c r="F182" s="765" t="s">
        <v>121</v>
      </c>
      <c r="G182" s="440">
        <v>400</v>
      </c>
      <c r="H182" s="440">
        <v>2016</v>
      </c>
      <c r="I182" s="766">
        <v>2018</v>
      </c>
      <c r="J182" s="442">
        <f t="shared" si="32"/>
        <v>14898</v>
      </c>
      <c r="K182" s="443">
        <v>919</v>
      </c>
      <c r="L182" s="444">
        <v>4600</v>
      </c>
      <c r="M182" s="445">
        <f t="shared" si="33"/>
        <v>9379</v>
      </c>
      <c r="N182" s="446">
        <v>7079</v>
      </c>
      <c r="O182" s="447">
        <v>0</v>
      </c>
      <c r="P182" s="448">
        <v>2300</v>
      </c>
      <c r="Q182" s="444">
        <v>0</v>
      </c>
      <c r="R182" s="449">
        <v>0</v>
      </c>
      <c r="S182" s="448">
        <v>0</v>
      </c>
      <c r="T182" s="444">
        <v>0</v>
      </c>
      <c r="U182" s="449">
        <v>0</v>
      </c>
      <c r="V182" s="448">
        <v>0</v>
      </c>
      <c r="W182" s="444">
        <v>0</v>
      </c>
      <c r="X182" s="449">
        <v>0</v>
      </c>
      <c r="Y182" s="448">
        <v>0</v>
      </c>
      <c r="Z182" s="492">
        <v>0</v>
      </c>
      <c r="AA182" s="493">
        <v>0</v>
      </c>
      <c r="AB182" s="986"/>
      <c r="AC182" s="986"/>
      <c r="AD182" s="986"/>
      <c r="AE182" s="986"/>
      <c r="AF182" s="25"/>
      <c r="AG182" s="25"/>
      <c r="AH182" s="25"/>
      <c r="AI182" s="25"/>
      <c r="AJ182" s="25"/>
      <c r="AK182" s="25"/>
      <c r="AL182" s="25"/>
      <c r="AM182" s="25"/>
      <c r="AN182" s="25"/>
      <c r="AO182" s="25"/>
      <c r="AP182" s="25"/>
      <c r="AQ182" s="25"/>
      <c r="AR182" s="25"/>
      <c r="AS182" s="25"/>
      <c r="AT182" s="25"/>
      <c r="AU182" s="25"/>
      <c r="AV182" s="25"/>
      <c r="AW182" s="25"/>
      <c r="AX182" s="25"/>
      <c r="AY182" s="25"/>
      <c r="AZ182" s="25"/>
      <c r="BA182" s="25"/>
      <c r="BB182" s="25"/>
      <c r="BC182" s="25"/>
      <c r="BD182" s="25"/>
      <c r="BE182" s="25"/>
      <c r="BF182" s="25"/>
      <c r="BG182" s="25"/>
      <c r="BH182" s="25"/>
      <c r="BI182" s="25"/>
      <c r="BJ182" s="25"/>
      <c r="BK182" s="25"/>
      <c r="BL182" s="25"/>
      <c r="BM182" s="25"/>
      <c r="BN182" s="25"/>
      <c r="BO182" s="25"/>
      <c r="BP182" s="25"/>
      <c r="BQ182" s="25"/>
      <c r="BR182" s="25"/>
      <c r="BS182" s="25"/>
      <c r="BT182" s="25"/>
      <c r="BU182" s="25"/>
      <c r="BV182" s="25"/>
      <c r="BW182" s="25"/>
      <c r="BX182" s="25"/>
      <c r="BY182" s="25"/>
      <c r="BZ182" s="25"/>
      <c r="CA182" s="25"/>
      <c r="CB182" s="25"/>
      <c r="CC182" s="25"/>
      <c r="CD182" s="25"/>
      <c r="CE182" s="25"/>
      <c r="CF182" s="25"/>
      <c r="CG182" s="25"/>
      <c r="CH182" s="25"/>
      <c r="CI182" s="25"/>
      <c r="CJ182" s="25"/>
      <c r="CK182" s="25"/>
      <c r="CL182" s="25"/>
      <c r="CM182" s="25"/>
      <c r="CN182" s="25"/>
      <c r="CO182" s="25"/>
      <c r="CP182" s="25"/>
      <c r="CQ182" s="25"/>
      <c r="CR182" s="25"/>
      <c r="CS182" s="25"/>
      <c r="CT182" s="25"/>
      <c r="CU182" s="25"/>
      <c r="CV182" s="25"/>
      <c r="CW182" s="25"/>
      <c r="CX182" s="25"/>
      <c r="CY182" s="25"/>
      <c r="CZ182" s="25"/>
      <c r="DA182" s="25"/>
      <c r="DB182" s="25"/>
      <c r="DC182" s="25"/>
      <c r="DD182" s="25"/>
      <c r="DE182" s="25"/>
      <c r="DF182" s="25"/>
      <c r="DG182" s="25"/>
      <c r="DH182" s="25"/>
      <c r="DI182" s="25"/>
      <c r="DJ182" s="25"/>
      <c r="DK182" s="25"/>
      <c r="DL182" s="25"/>
      <c r="DM182" s="25"/>
      <c r="DN182" s="25"/>
      <c r="DO182" s="25"/>
      <c r="DP182" s="25"/>
      <c r="DQ182" s="25"/>
    </row>
    <row r="183" spans="1:121" s="558" customFormat="1" ht="24.95" customHeight="1" x14ac:dyDescent="0.25">
      <c r="A183" s="600">
        <v>230</v>
      </c>
      <c r="B183" s="555">
        <v>3233</v>
      </c>
      <c r="C183" s="490">
        <v>6121</v>
      </c>
      <c r="D183" s="1244">
        <v>8232</v>
      </c>
      <c r="E183" s="411" t="s">
        <v>405</v>
      </c>
      <c r="F183" s="765" t="s">
        <v>127</v>
      </c>
      <c r="G183" s="440">
        <v>400</v>
      </c>
      <c r="H183" s="440">
        <v>2019</v>
      </c>
      <c r="I183" s="766">
        <v>2020</v>
      </c>
      <c r="J183" s="442">
        <f t="shared" si="32"/>
        <v>10000</v>
      </c>
      <c r="K183" s="443">
        <v>0</v>
      </c>
      <c r="L183" s="444">
        <v>0</v>
      </c>
      <c r="M183" s="445">
        <f t="shared" si="33"/>
        <v>0</v>
      </c>
      <c r="N183" s="446">
        <v>0</v>
      </c>
      <c r="O183" s="447">
        <f>1000-1000</f>
        <v>0</v>
      </c>
      <c r="P183" s="448">
        <v>0</v>
      </c>
      <c r="Q183" s="444">
        <v>0</v>
      </c>
      <c r="R183" s="449">
        <f>9000+1000</f>
        <v>10000</v>
      </c>
      <c r="S183" s="448">
        <v>0</v>
      </c>
      <c r="T183" s="444">
        <v>0</v>
      </c>
      <c r="U183" s="449">
        <v>0</v>
      </c>
      <c r="V183" s="448">
        <v>0</v>
      </c>
      <c r="W183" s="444">
        <v>0</v>
      </c>
      <c r="X183" s="449">
        <v>0</v>
      </c>
      <c r="Y183" s="448">
        <v>0</v>
      </c>
      <c r="Z183" s="492">
        <v>0</v>
      </c>
      <c r="AA183" s="493">
        <v>0</v>
      </c>
      <c r="AB183" s="986"/>
      <c r="AC183" s="986"/>
      <c r="AD183" s="986"/>
      <c r="AE183" s="986"/>
      <c r="AF183" s="25"/>
      <c r="AG183" s="25"/>
      <c r="AH183" s="25"/>
      <c r="AI183" s="25"/>
      <c r="AJ183" s="25"/>
      <c r="AK183" s="25"/>
      <c r="AL183" s="25"/>
      <c r="AM183" s="25"/>
      <c r="AN183" s="25"/>
      <c r="AO183" s="25"/>
      <c r="AP183" s="25"/>
      <c r="AQ183" s="25"/>
      <c r="AR183" s="25"/>
      <c r="AS183" s="25"/>
      <c r="AT183" s="25"/>
      <c r="AU183" s="25"/>
      <c r="AV183" s="25"/>
      <c r="AW183" s="25"/>
      <c r="AX183" s="25"/>
      <c r="AY183" s="25"/>
      <c r="AZ183" s="25"/>
      <c r="BA183" s="25"/>
      <c r="BB183" s="25"/>
      <c r="BC183" s="25"/>
      <c r="BD183" s="25"/>
      <c r="BE183" s="25"/>
      <c r="BF183" s="25"/>
      <c r="BG183" s="25"/>
      <c r="BH183" s="25"/>
      <c r="BI183" s="25"/>
      <c r="BJ183" s="25"/>
      <c r="BK183" s="25"/>
      <c r="BL183" s="25"/>
      <c r="BM183" s="25"/>
      <c r="BN183" s="25"/>
      <c r="BO183" s="25"/>
      <c r="BP183" s="25"/>
      <c r="BQ183" s="25"/>
      <c r="BR183" s="25"/>
      <c r="BS183" s="25"/>
      <c r="BT183" s="25"/>
      <c r="BU183" s="25"/>
      <c r="BV183" s="25"/>
      <c r="BW183" s="25"/>
      <c r="BX183" s="25"/>
      <c r="BY183" s="25"/>
      <c r="BZ183" s="25"/>
      <c r="CA183" s="25"/>
      <c r="CB183" s="25"/>
      <c r="CC183" s="25"/>
      <c r="CD183" s="25"/>
      <c r="CE183" s="25"/>
      <c r="CF183" s="25"/>
      <c r="CG183" s="25"/>
      <c r="CH183" s="25"/>
      <c r="CI183" s="25"/>
      <c r="CJ183" s="25"/>
      <c r="CK183" s="25"/>
      <c r="CL183" s="25"/>
      <c r="CM183" s="25"/>
      <c r="CN183" s="25"/>
      <c r="CO183" s="25"/>
      <c r="CP183" s="25"/>
      <c r="CQ183" s="25"/>
      <c r="CR183" s="25"/>
      <c r="CS183" s="25"/>
      <c r="CT183" s="25"/>
      <c r="CU183" s="25"/>
      <c r="CV183" s="25"/>
      <c r="CW183" s="25"/>
      <c r="CX183" s="25"/>
      <c r="CY183" s="25"/>
      <c r="CZ183" s="25"/>
      <c r="DA183" s="25"/>
      <c r="DB183" s="25"/>
      <c r="DC183" s="25"/>
      <c r="DD183" s="25"/>
      <c r="DE183" s="25"/>
      <c r="DF183" s="25"/>
      <c r="DG183" s="25"/>
      <c r="DH183" s="25"/>
      <c r="DI183" s="25"/>
      <c r="DJ183" s="25"/>
      <c r="DK183" s="25"/>
      <c r="DL183" s="25"/>
      <c r="DM183" s="25"/>
      <c r="DN183" s="25"/>
      <c r="DO183" s="25"/>
      <c r="DP183" s="25"/>
      <c r="DQ183" s="25"/>
    </row>
    <row r="184" spans="1:121" s="23" customFormat="1" ht="24.95" customHeight="1" x14ac:dyDescent="0.25">
      <c r="A184" s="898">
        <v>230</v>
      </c>
      <c r="B184" s="781">
        <v>3311</v>
      </c>
      <c r="C184" s="782">
        <v>6121</v>
      </c>
      <c r="D184" s="1245">
        <v>8203</v>
      </c>
      <c r="E184" s="955" t="s">
        <v>404</v>
      </c>
      <c r="F184" s="383" t="s">
        <v>127</v>
      </c>
      <c r="G184" s="111">
        <v>400</v>
      </c>
      <c r="H184" s="111">
        <v>2017</v>
      </c>
      <c r="I184" s="557">
        <v>2019</v>
      </c>
      <c r="J184" s="462">
        <f t="shared" si="32"/>
        <v>17351</v>
      </c>
      <c r="K184" s="463">
        <v>838</v>
      </c>
      <c r="L184" s="464">
        <f>4700-123</f>
        <v>4577</v>
      </c>
      <c r="M184" s="465">
        <f t="shared" si="33"/>
        <v>11936</v>
      </c>
      <c r="N184" s="466">
        <v>5936</v>
      </c>
      <c r="O184" s="475">
        <v>6000</v>
      </c>
      <c r="P184" s="467">
        <v>0</v>
      </c>
      <c r="Q184" s="464">
        <v>0</v>
      </c>
      <c r="R184" s="469">
        <v>0</v>
      </c>
      <c r="S184" s="467">
        <v>0</v>
      </c>
      <c r="T184" s="464">
        <v>0</v>
      </c>
      <c r="U184" s="469">
        <v>0</v>
      </c>
      <c r="V184" s="467">
        <v>0</v>
      </c>
      <c r="W184" s="464">
        <v>0</v>
      </c>
      <c r="X184" s="469">
        <v>0</v>
      </c>
      <c r="Y184" s="467">
        <v>0</v>
      </c>
      <c r="Z184" s="468">
        <v>0</v>
      </c>
      <c r="AA184" s="478">
        <v>0</v>
      </c>
      <c r="AB184" s="1062"/>
      <c r="AC184" s="1062"/>
      <c r="AD184" s="25"/>
      <c r="AE184" s="25"/>
      <c r="AF184" s="25"/>
      <c r="AG184" s="25"/>
      <c r="AH184" s="25"/>
      <c r="AI184" s="25"/>
      <c r="AJ184" s="25"/>
      <c r="AK184" s="25"/>
      <c r="AL184" s="25"/>
      <c r="AM184" s="25"/>
      <c r="AN184" s="25"/>
      <c r="AO184" s="25"/>
      <c r="AP184" s="25"/>
      <c r="AQ184" s="25"/>
      <c r="AR184" s="25"/>
      <c r="AS184" s="25"/>
      <c r="AT184" s="25"/>
      <c r="AU184" s="25"/>
      <c r="AV184" s="25"/>
      <c r="AW184" s="25"/>
      <c r="AX184" s="25"/>
      <c r="AY184" s="25"/>
      <c r="AZ184" s="25"/>
      <c r="BA184" s="25"/>
      <c r="BB184" s="25"/>
      <c r="BC184" s="25"/>
      <c r="BD184" s="25"/>
      <c r="BE184" s="25"/>
      <c r="BF184" s="25"/>
      <c r="BG184" s="25"/>
      <c r="BH184" s="25"/>
      <c r="BI184" s="25"/>
      <c r="BJ184" s="25"/>
      <c r="BK184" s="25"/>
      <c r="BL184" s="25"/>
      <c r="BM184" s="25"/>
      <c r="BN184" s="25"/>
      <c r="BO184" s="25"/>
      <c r="BP184" s="25"/>
      <c r="BQ184" s="25"/>
      <c r="BR184" s="25"/>
      <c r="BS184" s="25"/>
      <c r="BT184" s="25"/>
      <c r="BU184" s="25"/>
      <c r="BV184" s="25"/>
      <c r="BW184" s="25"/>
      <c r="BX184" s="25"/>
      <c r="BY184" s="25"/>
      <c r="BZ184" s="25"/>
      <c r="CA184" s="25"/>
      <c r="CB184" s="25"/>
      <c r="CC184" s="25"/>
      <c r="CD184" s="25"/>
      <c r="CE184" s="25"/>
      <c r="CF184" s="25"/>
      <c r="CG184" s="25"/>
      <c r="CH184" s="25"/>
      <c r="CI184" s="25"/>
      <c r="CJ184" s="25"/>
      <c r="CK184" s="25"/>
      <c r="CL184" s="25"/>
      <c r="CM184" s="25"/>
      <c r="CN184" s="25"/>
      <c r="CO184" s="25"/>
      <c r="CP184" s="25"/>
      <c r="CQ184" s="25"/>
      <c r="CR184" s="25"/>
      <c r="CS184" s="25"/>
      <c r="CT184" s="25"/>
      <c r="CU184" s="25"/>
      <c r="CV184" s="25"/>
      <c r="CW184" s="25"/>
      <c r="CX184" s="25"/>
      <c r="CY184" s="25"/>
      <c r="CZ184" s="25"/>
      <c r="DA184" s="25"/>
      <c r="DB184" s="25"/>
      <c r="DC184" s="25"/>
      <c r="DD184" s="25"/>
      <c r="DE184" s="25"/>
      <c r="DF184" s="25"/>
      <c r="DG184" s="25"/>
      <c r="DH184" s="25"/>
      <c r="DI184" s="25"/>
      <c r="DJ184" s="25"/>
      <c r="DK184" s="25"/>
      <c r="DL184" s="25"/>
      <c r="DM184" s="25"/>
      <c r="DN184" s="25"/>
      <c r="DO184" s="25"/>
      <c r="DP184" s="25"/>
      <c r="DQ184" s="25"/>
    </row>
    <row r="185" spans="1:121" s="23" customFormat="1" ht="24.95" customHeight="1" x14ac:dyDescent="0.25">
      <c r="A185" s="898">
        <v>230</v>
      </c>
      <c r="B185" s="781">
        <v>3314</v>
      </c>
      <c r="C185" s="782">
        <v>6121</v>
      </c>
      <c r="D185" s="1238">
        <v>8191</v>
      </c>
      <c r="E185" s="796" t="s">
        <v>403</v>
      </c>
      <c r="F185" s="383" t="s">
        <v>121</v>
      </c>
      <c r="G185" s="111">
        <v>400</v>
      </c>
      <c r="H185" s="111">
        <v>2016</v>
      </c>
      <c r="I185" s="557">
        <v>2020</v>
      </c>
      <c r="J185" s="462">
        <f t="shared" si="32"/>
        <v>36577</v>
      </c>
      <c r="K185" s="463">
        <v>228</v>
      </c>
      <c r="L185" s="464">
        <v>611</v>
      </c>
      <c r="M185" s="465">
        <f t="shared" si="33"/>
        <v>11804</v>
      </c>
      <c r="N185" s="466">
        <v>6804</v>
      </c>
      <c r="O185" s="475">
        <f>10934-8934</f>
        <v>2000</v>
      </c>
      <c r="P185" s="467">
        <v>0</v>
      </c>
      <c r="Q185" s="464">
        <v>3000</v>
      </c>
      <c r="R185" s="469">
        <f>15000+8934</f>
        <v>23934</v>
      </c>
      <c r="S185" s="467">
        <v>0</v>
      </c>
      <c r="T185" s="464">
        <v>0</v>
      </c>
      <c r="U185" s="469">
        <v>0</v>
      </c>
      <c r="V185" s="467">
        <v>0</v>
      </c>
      <c r="W185" s="464">
        <v>0</v>
      </c>
      <c r="X185" s="469">
        <v>0</v>
      </c>
      <c r="Y185" s="467">
        <v>0</v>
      </c>
      <c r="Z185" s="468">
        <v>0</v>
      </c>
      <c r="AA185" s="478">
        <v>0</v>
      </c>
      <c r="AB185" s="25"/>
      <c r="AC185" s="25"/>
      <c r="AD185" s="25"/>
      <c r="AE185" s="25"/>
      <c r="AF185" s="25"/>
      <c r="AG185" s="25"/>
      <c r="AH185" s="25"/>
      <c r="AI185" s="25"/>
      <c r="AJ185" s="25"/>
      <c r="AK185" s="25"/>
      <c r="AL185" s="25"/>
      <c r="AM185" s="25"/>
      <c r="AN185" s="25"/>
      <c r="AO185" s="25"/>
      <c r="AP185" s="25"/>
      <c r="AQ185" s="25"/>
      <c r="AR185" s="25"/>
      <c r="AS185" s="25"/>
      <c r="AT185" s="25"/>
      <c r="AU185" s="25"/>
      <c r="AV185" s="25"/>
      <c r="AW185" s="25"/>
      <c r="AX185" s="25"/>
      <c r="AY185" s="25"/>
      <c r="AZ185" s="25"/>
      <c r="BA185" s="25"/>
      <c r="BB185" s="25"/>
      <c r="BC185" s="25"/>
      <c r="BD185" s="25"/>
      <c r="BE185" s="25"/>
      <c r="BF185" s="25"/>
      <c r="BG185" s="25"/>
      <c r="BH185" s="25"/>
      <c r="BI185" s="25"/>
      <c r="BJ185" s="25"/>
      <c r="BK185" s="25"/>
      <c r="BL185" s="25"/>
      <c r="BM185" s="25"/>
      <c r="BN185" s="25"/>
      <c r="BO185" s="25"/>
      <c r="BP185" s="25"/>
      <c r="BQ185" s="25"/>
      <c r="BR185" s="25"/>
      <c r="BS185" s="25"/>
      <c r="BT185" s="25"/>
      <c r="BU185" s="25"/>
      <c r="BV185" s="25"/>
      <c r="BW185" s="25"/>
      <c r="BX185" s="25"/>
      <c r="BY185" s="25"/>
      <c r="BZ185" s="25"/>
      <c r="CA185" s="25"/>
      <c r="CB185" s="25"/>
      <c r="CC185" s="25"/>
      <c r="CD185" s="25"/>
      <c r="CE185" s="25"/>
      <c r="CF185" s="25"/>
      <c r="CG185" s="25"/>
      <c r="CH185" s="25"/>
      <c r="CI185" s="25"/>
      <c r="CJ185" s="25"/>
      <c r="CK185" s="25"/>
      <c r="CL185" s="25"/>
      <c r="CM185" s="25"/>
      <c r="CN185" s="25"/>
      <c r="CO185" s="25"/>
      <c r="CP185" s="25"/>
      <c r="CQ185" s="25"/>
      <c r="CR185" s="25"/>
      <c r="CS185" s="25"/>
      <c r="CT185" s="25"/>
      <c r="CU185" s="25"/>
      <c r="CV185" s="25"/>
      <c r="CW185" s="25"/>
      <c r="CX185" s="25"/>
      <c r="CY185" s="25"/>
      <c r="CZ185" s="25"/>
      <c r="DA185" s="25"/>
      <c r="DB185" s="25"/>
      <c r="DC185" s="25"/>
      <c r="DD185" s="25"/>
      <c r="DE185" s="25"/>
      <c r="DF185" s="25"/>
      <c r="DG185" s="25"/>
      <c r="DH185" s="25"/>
      <c r="DI185" s="25"/>
      <c r="DJ185" s="25"/>
      <c r="DK185" s="25"/>
      <c r="DL185" s="25"/>
      <c r="DM185" s="25"/>
      <c r="DN185" s="25"/>
      <c r="DO185" s="25"/>
      <c r="DP185" s="25"/>
      <c r="DQ185" s="25"/>
    </row>
    <row r="186" spans="1:121" s="23" customFormat="1" ht="24.95" customHeight="1" x14ac:dyDescent="0.25">
      <c r="A186" s="898">
        <v>230</v>
      </c>
      <c r="B186" s="781">
        <v>3315</v>
      </c>
      <c r="C186" s="782">
        <v>6121</v>
      </c>
      <c r="D186" s="1231">
        <v>8156</v>
      </c>
      <c r="E186" s="985" t="s">
        <v>402</v>
      </c>
      <c r="F186" s="383" t="s">
        <v>127</v>
      </c>
      <c r="G186" s="111">
        <v>400</v>
      </c>
      <c r="H186" s="111">
        <v>2012</v>
      </c>
      <c r="I186" s="112">
        <v>2024</v>
      </c>
      <c r="J186" s="462">
        <f t="shared" si="32"/>
        <v>663079</v>
      </c>
      <c r="K186" s="463">
        <v>7136</v>
      </c>
      <c r="L186" s="464">
        <v>0</v>
      </c>
      <c r="M186" s="465">
        <f t="shared" si="33"/>
        <v>943</v>
      </c>
      <c r="N186" s="466">
        <v>943</v>
      </c>
      <c r="O186" s="475">
        <f>1500-1000-500</f>
        <v>0</v>
      </c>
      <c r="P186" s="467">
        <v>0</v>
      </c>
      <c r="Q186" s="464">
        <v>0</v>
      </c>
      <c r="R186" s="469">
        <v>5000</v>
      </c>
      <c r="S186" s="467">
        <v>0</v>
      </c>
      <c r="T186" s="464">
        <v>0</v>
      </c>
      <c r="U186" s="469">
        <v>30000</v>
      </c>
      <c r="V186" s="467">
        <v>0</v>
      </c>
      <c r="W186" s="464">
        <v>0</v>
      </c>
      <c r="X186" s="469">
        <v>120000</v>
      </c>
      <c r="Y186" s="467">
        <v>0</v>
      </c>
      <c r="Z186" s="468">
        <v>0</v>
      </c>
      <c r="AA186" s="478">
        <v>500000</v>
      </c>
      <c r="AB186" s="25"/>
      <c r="AC186" s="25"/>
      <c r="AD186" s="25"/>
      <c r="AE186" s="25"/>
      <c r="AF186" s="25"/>
      <c r="AG186" s="25"/>
      <c r="AH186" s="25"/>
      <c r="AI186" s="25"/>
      <c r="AJ186" s="25"/>
      <c r="AK186" s="25"/>
      <c r="AL186" s="25"/>
      <c r="AM186" s="25"/>
      <c r="AN186" s="25"/>
      <c r="AO186" s="25"/>
      <c r="AP186" s="25"/>
      <c r="AQ186" s="25"/>
      <c r="AR186" s="25"/>
      <c r="AS186" s="25"/>
      <c r="AT186" s="25"/>
      <c r="AU186" s="25"/>
      <c r="AV186" s="25"/>
      <c r="AW186" s="25"/>
      <c r="AX186" s="25"/>
      <c r="AY186" s="25"/>
      <c r="AZ186" s="25"/>
      <c r="BA186" s="25"/>
      <c r="BB186" s="25"/>
      <c r="BC186" s="25"/>
      <c r="BD186" s="25"/>
      <c r="BE186" s="25"/>
      <c r="BF186" s="25"/>
      <c r="BG186" s="25"/>
      <c r="BH186" s="25"/>
      <c r="BI186" s="25"/>
      <c r="BJ186" s="25"/>
      <c r="BK186" s="25"/>
      <c r="BL186" s="25"/>
      <c r="BM186" s="25"/>
      <c r="BN186" s="25"/>
      <c r="BO186" s="25"/>
      <c r="BP186" s="25"/>
      <c r="BQ186" s="25"/>
      <c r="BR186" s="25"/>
      <c r="BS186" s="25"/>
      <c r="BT186" s="25"/>
      <c r="BU186" s="25"/>
      <c r="BV186" s="25"/>
      <c r="BW186" s="25"/>
      <c r="BX186" s="25"/>
      <c r="BY186" s="25"/>
      <c r="BZ186" s="25"/>
      <c r="CA186" s="25"/>
      <c r="CB186" s="25"/>
      <c r="CC186" s="25"/>
      <c r="CD186" s="25"/>
      <c r="CE186" s="25"/>
      <c r="CF186" s="25"/>
      <c r="CG186" s="25"/>
      <c r="CH186" s="25"/>
      <c r="CI186" s="25"/>
      <c r="CJ186" s="25"/>
      <c r="CK186" s="25"/>
      <c r="CL186" s="25"/>
      <c r="CM186" s="25"/>
      <c r="CN186" s="25"/>
      <c r="CO186" s="25"/>
      <c r="CP186" s="25"/>
      <c r="CQ186" s="25"/>
      <c r="CR186" s="25"/>
      <c r="CS186" s="25"/>
      <c r="CT186" s="25"/>
      <c r="CU186" s="25"/>
      <c r="CV186" s="25"/>
      <c r="CW186" s="25"/>
      <c r="CX186" s="25"/>
      <c r="CY186" s="25"/>
      <c r="CZ186" s="25"/>
      <c r="DA186" s="25"/>
      <c r="DB186" s="25"/>
      <c r="DC186" s="25"/>
      <c r="DD186" s="25"/>
      <c r="DE186" s="25"/>
      <c r="DF186" s="25"/>
      <c r="DG186" s="25"/>
      <c r="DH186" s="25"/>
      <c r="DI186" s="25"/>
      <c r="DJ186" s="25"/>
      <c r="DK186" s="25"/>
      <c r="DL186" s="25"/>
      <c r="DM186" s="25"/>
      <c r="DN186" s="25"/>
      <c r="DO186" s="25"/>
      <c r="DP186" s="25"/>
      <c r="DQ186" s="25"/>
    </row>
    <row r="187" spans="1:121" s="31" customFormat="1" ht="24.95" customHeight="1" x14ac:dyDescent="0.25">
      <c r="A187" s="600">
        <v>230</v>
      </c>
      <c r="B187" s="555">
        <v>3319</v>
      </c>
      <c r="C187" s="490">
        <v>6121</v>
      </c>
      <c r="D187" s="988">
        <v>8234</v>
      </c>
      <c r="E187" s="984" t="s">
        <v>401</v>
      </c>
      <c r="F187" s="765" t="s">
        <v>127</v>
      </c>
      <c r="G187" s="440">
        <v>400</v>
      </c>
      <c r="H187" s="440">
        <v>2018</v>
      </c>
      <c r="I187" s="441">
        <v>2022</v>
      </c>
      <c r="J187" s="442">
        <f t="shared" si="32"/>
        <v>180000</v>
      </c>
      <c r="K187" s="443">
        <v>0</v>
      </c>
      <c r="L187" s="444">
        <v>0</v>
      </c>
      <c r="M187" s="445">
        <f t="shared" si="33"/>
        <v>0</v>
      </c>
      <c r="N187" s="446">
        <v>0</v>
      </c>
      <c r="O187" s="447">
        <v>0</v>
      </c>
      <c r="P187" s="448">
        <v>0</v>
      </c>
      <c r="Q187" s="444">
        <v>0</v>
      </c>
      <c r="R187" s="449">
        <v>2000</v>
      </c>
      <c r="S187" s="448">
        <v>0</v>
      </c>
      <c r="T187" s="444">
        <v>0</v>
      </c>
      <c r="U187" s="449">
        <v>50000</v>
      </c>
      <c r="V187" s="448">
        <v>0</v>
      </c>
      <c r="W187" s="444">
        <v>0</v>
      </c>
      <c r="X187" s="449">
        <v>100000</v>
      </c>
      <c r="Y187" s="448">
        <v>0</v>
      </c>
      <c r="Z187" s="492">
        <v>0</v>
      </c>
      <c r="AA187" s="493">
        <v>28000</v>
      </c>
      <c r="AB187" s="1062"/>
      <c r="AC187" s="25"/>
      <c r="AD187" s="25"/>
      <c r="AE187" s="25"/>
      <c r="AF187" s="25"/>
      <c r="AG187" s="25"/>
      <c r="AH187" s="25"/>
      <c r="AI187" s="25"/>
      <c r="AJ187" s="25"/>
      <c r="AK187" s="25"/>
      <c r="AL187" s="25"/>
      <c r="AM187" s="25"/>
      <c r="AN187" s="25"/>
      <c r="AO187" s="25"/>
      <c r="AP187" s="25"/>
      <c r="AQ187" s="25"/>
      <c r="AR187" s="25"/>
      <c r="AS187" s="25"/>
      <c r="AT187" s="25"/>
      <c r="AU187" s="25"/>
      <c r="AV187" s="25"/>
      <c r="AW187" s="25"/>
      <c r="AX187" s="25"/>
      <c r="AY187" s="25"/>
      <c r="AZ187" s="25"/>
      <c r="BA187" s="25"/>
      <c r="BB187" s="25"/>
      <c r="BC187" s="25"/>
      <c r="BD187" s="25"/>
      <c r="BE187" s="25"/>
      <c r="BF187" s="25"/>
      <c r="BG187" s="25"/>
      <c r="BH187" s="25"/>
      <c r="BI187" s="25"/>
      <c r="BJ187" s="25"/>
      <c r="BK187" s="25"/>
      <c r="BL187" s="25"/>
      <c r="BM187" s="25"/>
      <c r="BN187" s="25"/>
      <c r="BO187" s="25"/>
      <c r="BP187" s="25"/>
      <c r="BQ187" s="25"/>
      <c r="BR187" s="25"/>
      <c r="BS187" s="25"/>
      <c r="BT187" s="25"/>
      <c r="BU187" s="25"/>
      <c r="BV187" s="25"/>
      <c r="BW187" s="25"/>
      <c r="BX187" s="25"/>
      <c r="BY187" s="25"/>
      <c r="BZ187" s="25"/>
      <c r="CA187" s="25"/>
      <c r="CB187" s="25"/>
      <c r="CC187" s="25"/>
      <c r="CD187" s="25"/>
      <c r="CE187" s="25"/>
      <c r="CF187" s="25"/>
      <c r="CG187" s="25"/>
      <c r="CH187" s="25"/>
      <c r="CI187" s="25"/>
      <c r="CJ187" s="25"/>
      <c r="CK187" s="25"/>
      <c r="CL187" s="25"/>
      <c r="CM187" s="25"/>
      <c r="CN187" s="25"/>
      <c r="CO187" s="25"/>
      <c r="CP187" s="25"/>
      <c r="CQ187" s="25"/>
      <c r="CR187" s="25"/>
      <c r="CS187" s="25"/>
      <c r="CT187" s="25"/>
      <c r="CU187" s="25"/>
      <c r="CV187" s="25"/>
      <c r="CW187" s="25"/>
      <c r="CX187" s="25"/>
      <c r="CY187" s="25"/>
      <c r="CZ187" s="25"/>
      <c r="DA187" s="25"/>
      <c r="DB187" s="25"/>
      <c r="DC187" s="25"/>
      <c r="DD187" s="25"/>
      <c r="DE187" s="25"/>
      <c r="DF187" s="25"/>
      <c r="DG187" s="25"/>
      <c r="DH187" s="25"/>
      <c r="DI187" s="25"/>
      <c r="DJ187" s="25"/>
      <c r="DK187" s="25"/>
      <c r="DL187" s="25"/>
      <c r="DM187" s="25"/>
      <c r="DN187" s="25"/>
      <c r="DO187" s="25"/>
      <c r="DP187" s="25"/>
      <c r="DQ187" s="25"/>
    </row>
    <row r="188" spans="1:121" s="23" customFormat="1" ht="24.95" customHeight="1" x14ac:dyDescent="0.25">
      <c r="A188" s="898">
        <v>230</v>
      </c>
      <c r="B188" s="781">
        <v>3322</v>
      </c>
      <c r="C188" s="782">
        <v>6121</v>
      </c>
      <c r="D188" s="1238">
        <v>8211</v>
      </c>
      <c r="E188" s="796" t="s">
        <v>400</v>
      </c>
      <c r="F188" s="383" t="s">
        <v>127</v>
      </c>
      <c r="G188" s="111">
        <v>400</v>
      </c>
      <c r="H188" s="111">
        <v>2017</v>
      </c>
      <c r="I188" s="112">
        <v>2020</v>
      </c>
      <c r="J188" s="462">
        <f t="shared" si="32"/>
        <v>202134</v>
      </c>
      <c r="K188" s="463">
        <v>1404</v>
      </c>
      <c r="L188" s="464">
        <v>1790</v>
      </c>
      <c r="M188" s="465">
        <f t="shared" si="33"/>
        <v>11940</v>
      </c>
      <c r="N188" s="466">
        <v>3698</v>
      </c>
      <c r="O188" s="475">
        <f>13242-5000</f>
        <v>8242</v>
      </c>
      <c r="P188" s="467">
        <v>0</v>
      </c>
      <c r="Q188" s="464">
        <v>0</v>
      </c>
      <c r="R188" s="469">
        <f>182000+5000-90000</f>
        <v>97000</v>
      </c>
      <c r="S188" s="467">
        <v>0</v>
      </c>
      <c r="T188" s="464">
        <v>0</v>
      </c>
      <c r="U188" s="469">
        <v>90000</v>
      </c>
      <c r="V188" s="467">
        <v>0</v>
      </c>
      <c r="W188" s="464">
        <v>0</v>
      </c>
      <c r="X188" s="469">
        <v>0</v>
      </c>
      <c r="Y188" s="467">
        <v>0</v>
      </c>
      <c r="Z188" s="468">
        <v>0</v>
      </c>
      <c r="AA188" s="478">
        <v>0</v>
      </c>
      <c r="AB188" s="25"/>
      <c r="AC188" s="25"/>
      <c r="AD188" s="25"/>
      <c r="AE188" s="25"/>
      <c r="AF188" s="25"/>
      <c r="AG188" s="25"/>
      <c r="AH188" s="25"/>
      <c r="AI188" s="25"/>
      <c r="AJ188" s="25"/>
      <c r="AK188" s="25"/>
      <c r="AL188" s="25"/>
      <c r="AM188" s="25"/>
      <c r="AN188" s="25"/>
      <c r="AO188" s="25"/>
      <c r="AP188" s="25"/>
      <c r="AQ188" s="25"/>
      <c r="AR188" s="25"/>
      <c r="AS188" s="25"/>
      <c r="AT188" s="25"/>
      <c r="AU188" s="25"/>
      <c r="AV188" s="25"/>
      <c r="AW188" s="25"/>
      <c r="AX188" s="25"/>
      <c r="AY188" s="25"/>
      <c r="AZ188" s="25"/>
      <c r="BA188" s="25"/>
      <c r="BB188" s="25"/>
      <c r="BC188" s="25"/>
      <c r="BD188" s="25"/>
      <c r="BE188" s="25"/>
      <c r="BF188" s="25"/>
      <c r="BG188" s="25"/>
      <c r="BH188" s="25"/>
      <c r="BI188" s="25"/>
      <c r="BJ188" s="25"/>
      <c r="BK188" s="25"/>
      <c r="BL188" s="25"/>
      <c r="BM188" s="25"/>
      <c r="BN188" s="25"/>
      <c r="BO188" s="25"/>
      <c r="BP188" s="25"/>
      <c r="BQ188" s="25"/>
      <c r="BR188" s="25"/>
      <c r="BS188" s="25"/>
      <c r="BT188" s="25"/>
      <c r="BU188" s="25"/>
      <c r="BV188" s="25"/>
      <c r="BW188" s="25"/>
      <c r="BX188" s="25"/>
      <c r="BY188" s="25"/>
      <c r="BZ188" s="25"/>
      <c r="CA188" s="25"/>
      <c r="CB188" s="25"/>
      <c r="CC188" s="25"/>
      <c r="CD188" s="25"/>
      <c r="CE188" s="25"/>
      <c r="CF188" s="25"/>
      <c r="CG188" s="25"/>
      <c r="CH188" s="25"/>
      <c r="CI188" s="25"/>
      <c r="CJ188" s="25"/>
      <c r="CK188" s="25"/>
      <c r="CL188" s="25"/>
      <c r="CM188" s="25"/>
      <c r="CN188" s="25"/>
      <c r="CO188" s="25"/>
      <c r="CP188" s="25"/>
      <c r="CQ188" s="25"/>
      <c r="CR188" s="25"/>
      <c r="CS188" s="25"/>
      <c r="CT188" s="25"/>
      <c r="CU188" s="25"/>
      <c r="CV188" s="25"/>
      <c r="CW188" s="25"/>
      <c r="CX188" s="25"/>
      <c r="CY188" s="25"/>
      <c r="CZ188" s="25"/>
      <c r="DA188" s="25"/>
      <c r="DB188" s="25"/>
      <c r="DC188" s="25"/>
      <c r="DD188" s="25"/>
      <c r="DE188" s="25"/>
      <c r="DF188" s="25"/>
      <c r="DG188" s="25"/>
      <c r="DH188" s="25"/>
      <c r="DI188" s="25"/>
      <c r="DJ188" s="25"/>
      <c r="DK188" s="25"/>
      <c r="DL188" s="25"/>
      <c r="DM188" s="25"/>
      <c r="DN188" s="25"/>
      <c r="DO188" s="25"/>
      <c r="DP188" s="25"/>
      <c r="DQ188" s="25"/>
    </row>
    <row r="189" spans="1:121" s="23" customFormat="1" ht="24.95" customHeight="1" x14ac:dyDescent="0.25">
      <c r="A189" s="898">
        <v>230</v>
      </c>
      <c r="B189" s="781">
        <v>3392</v>
      </c>
      <c r="C189" s="782">
        <v>6121</v>
      </c>
      <c r="D189" s="1238">
        <v>8202</v>
      </c>
      <c r="E189" s="796" t="s">
        <v>399</v>
      </c>
      <c r="F189" s="383" t="s">
        <v>147</v>
      </c>
      <c r="G189" s="111">
        <v>400</v>
      </c>
      <c r="H189" s="111">
        <v>2016</v>
      </c>
      <c r="I189" s="557">
        <v>2020</v>
      </c>
      <c r="J189" s="462">
        <f t="shared" si="32"/>
        <v>21014</v>
      </c>
      <c r="K189" s="463">
        <v>94</v>
      </c>
      <c r="L189" s="464">
        <v>920</v>
      </c>
      <c r="M189" s="465">
        <f t="shared" si="33"/>
        <v>0</v>
      </c>
      <c r="N189" s="466">
        <v>0</v>
      </c>
      <c r="O189" s="475">
        <f>10000-9000-1000</f>
        <v>0</v>
      </c>
      <c r="P189" s="467">
        <v>0</v>
      </c>
      <c r="Q189" s="464">
        <v>0</v>
      </c>
      <c r="R189" s="469">
        <f>10000+9000+1000</f>
        <v>20000</v>
      </c>
      <c r="S189" s="467">
        <v>0</v>
      </c>
      <c r="T189" s="464">
        <v>0</v>
      </c>
      <c r="U189" s="469">
        <v>0</v>
      </c>
      <c r="V189" s="467">
        <v>0</v>
      </c>
      <c r="W189" s="464">
        <v>0</v>
      </c>
      <c r="X189" s="469">
        <v>0</v>
      </c>
      <c r="Y189" s="467">
        <v>0</v>
      </c>
      <c r="Z189" s="468">
        <v>0</v>
      </c>
      <c r="AA189" s="478">
        <v>0</v>
      </c>
      <c r="AB189" s="25"/>
      <c r="AC189" s="25"/>
      <c r="AD189" s="25"/>
      <c r="AE189" s="25"/>
      <c r="AF189" s="25"/>
      <c r="AG189" s="25"/>
      <c r="AH189" s="25"/>
      <c r="AI189" s="25"/>
      <c r="AJ189" s="25"/>
      <c r="AK189" s="25"/>
      <c r="AL189" s="25"/>
      <c r="AM189" s="25"/>
      <c r="AN189" s="25"/>
      <c r="AO189" s="25"/>
      <c r="AP189" s="25"/>
      <c r="AQ189" s="25"/>
      <c r="AR189" s="25"/>
      <c r="AS189" s="25"/>
      <c r="AT189" s="25"/>
      <c r="AU189" s="25"/>
      <c r="AV189" s="25"/>
      <c r="AW189" s="25"/>
      <c r="AX189" s="25"/>
      <c r="AY189" s="25"/>
      <c r="AZ189" s="25"/>
      <c r="BA189" s="25"/>
      <c r="BB189" s="25"/>
      <c r="BC189" s="25"/>
      <c r="BD189" s="25"/>
      <c r="BE189" s="25"/>
      <c r="BF189" s="25"/>
      <c r="BG189" s="25"/>
      <c r="BH189" s="25"/>
      <c r="BI189" s="25"/>
      <c r="BJ189" s="25"/>
      <c r="BK189" s="25"/>
      <c r="BL189" s="25"/>
      <c r="BM189" s="25"/>
      <c r="BN189" s="25"/>
      <c r="BO189" s="25"/>
      <c r="BP189" s="25"/>
      <c r="BQ189" s="25"/>
      <c r="BR189" s="25"/>
      <c r="BS189" s="25"/>
      <c r="BT189" s="25"/>
      <c r="BU189" s="25"/>
      <c r="BV189" s="25"/>
      <c r="BW189" s="25"/>
      <c r="BX189" s="25"/>
      <c r="BY189" s="25"/>
      <c r="BZ189" s="25"/>
      <c r="CA189" s="25"/>
      <c r="CB189" s="25"/>
      <c r="CC189" s="25"/>
      <c r="CD189" s="25"/>
      <c r="CE189" s="25"/>
      <c r="CF189" s="25"/>
      <c r="CG189" s="25"/>
      <c r="CH189" s="25"/>
      <c r="CI189" s="25"/>
      <c r="CJ189" s="25"/>
      <c r="CK189" s="25"/>
      <c r="CL189" s="25"/>
      <c r="CM189" s="25"/>
      <c r="CN189" s="25"/>
      <c r="CO189" s="25"/>
      <c r="CP189" s="25"/>
      <c r="CQ189" s="25"/>
      <c r="CR189" s="25"/>
      <c r="CS189" s="25"/>
      <c r="CT189" s="25"/>
      <c r="CU189" s="25"/>
      <c r="CV189" s="25"/>
      <c r="CW189" s="25"/>
      <c r="CX189" s="25"/>
      <c r="CY189" s="25"/>
      <c r="CZ189" s="25"/>
      <c r="DA189" s="25"/>
      <c r="DB189" s="25"/>
      <c r="DC189" s="25"/>
      <c r="DD189" s="25"/>
      <c r="DE189" s="25"/>
      <c r="DF189" s="25"/>
      <c r="DG189" s="25"/>
      <c r="DH189" s="25"/>
      <c r="DI189" s="25"/>
      <c r="DJ189" s="25"/>
      <c r="DK189" s="25"/>
      <c r="DL189" s="25"/>
      <c r="DM189" s="25"/>
      <c r="DN189" s="25"/>
      <c r="DO189" s="25"/>
      <c r="DP189" s="25"/>
      <c r="DQ189" s="25"/>
    </row>
    <row r="190" spans="1:121" s="202" customFormat="1" ht="24.95" customHeight="1" x14ac:dyDescent="0.25">
      <c r="A190" s="600">
        <v>230</v>
      </c>
      <c r="B190" s="907">
        <v>3412</v>
      </c>
      <c r="C190" s="906">
        <v>6121</v>
      </c>
      <c r="D190" s="1228">
        <v>6325</v>
      </c>
      <c r="E190" s="788" t="s">
        <v>398</v>
      </c>
      <c r="F190" s="765" t="s">
        <v>168</v>
      </c>
      <c r="G190" s="440">
        <v>400</v>
      </c>
      <c r="H190" s="440">
        <v>2018</v>
      </c>
      <c r="I190" s="766">
        <v>2021</v>
      </c>
      <c r="J190" s="442">
        <f t="shared" si="32"/>
        <v>75300</v>
      </c>
      <c r="K190" s="443">
        <v>0</v>
      </c>
      <c r="L190" s="492">
        <v>322</v>
      </c>
      <c r="M190" s="445">
        <f t="shared" si="33"/>
        <v>1898</v>
      </c>
      <c r="N190" s="446">
        <v>398</v>
      </c>
      <c r="O190" s="447">
        <v>1500</v>
      </c>
      <c r="P190" s="448">
        <v>0</v>
      </c>
      <c r="Q190" s="444">
        <v>0</v>
      </c>
      <c r="R190" s="505">
        <v>30000</v>
      </c>
      <c r="S190" s="448">
        <v>0</v>
      </c>
      <c r="T190" s="444">
        <v>0</v>
      </c>
      <c r="U190" s="449">
        <v>43080</v>
      </c>
      <c r="V190" s="448">
        <v>0</v>
      </c>
      <c r="W190" s="444">
        <v>0</v>
      </c>
      <c r="X190" s="449">
        <v>0</v>
      </c>
      <c r="Y190" s="448">
        <v>0</v>
      </c>
      <c r="Z190" s="492">
        <v>0</v>
      </c>
      <c r="AA190" s="493">
        <v>0</v>
      </c>
      <c r="AB190" s="25"/>
      <c r="AC190" s="25"/>
      <c r="AD190" s="25"/>
      <c r="AE190" s="25"/>
      <c r="AF190" s="25"/>
      <c r="AG190" s="25"/>
      <c r="AH190" s="25"/>
      <c r="AI190" s="25"/>
      <c r="AJ190" s="25"/>
      <c r="AK190" s="25"/>
      <c r="AL190" s="25"/>
      <c r="AM190" s="25"/>
      <c r="AN190" s="25"/>
      <c r="AO190" s="25"/>
      <c r="AP190" s="25"/>
      <c r="AQ190" s="25"/>
      <c r="AR190" s="25"/>
      <c r="AS190" s="25"/>
      <c r="AT190" s="25"/>
      <c r="AU190" s="25"/>
      <c r="AV190" s="25"/>
      <c r="AW190" s="25"/>
      <c r="AX190" s="25"/>
      <c r="AY190" s="25"/>
      <c r="AZ190" s="25"/>
      <c r="BA190" s="25"/>
      <c r="BB190" s="25"/>
      <c r="BC190" s="25"/>
      <c r="BD190" s="25"/>
      <c r="BE190" s="25"/>
      <c r="BF190" s="25"/>
      <c r="BG190" s="25"/>
      <c r="BH190" s="25"/>
      <c r="BI190" s="25"/>
      <c r="BJ190" s="25"/>
      <c r="BK190" s="25"/>
      <c r="BL190" s="25"/>
      <c r="BM190" s="25"/>
      <c r="BN190" s="25"/>
      <c r="BO190" s="25"/>
      <c r="BP190" s="25"/>
      <c r="BQ190" s="25"/>
      <c r="BR190" s="25"/>
      <c r="BS190" s="25"/>
      <c r="BT190" s="25"/>
      <c r="BU190" s="25"/>
      <c r="BV190" s="25"/>
      <c r="BW190" s="25"/>
      <c r="BX190" s="25"/>
      <c r="BY190" s="25"/>
      <c r="BZ190" s="25"/>
      <c r="CA190" s="25"/>
      <c r="CB190" s="25"/>
      <c r="CC190" s="25"/>
      <c r="CD190" s="25"/>
      <c r="CE190" s="25"/>
      <c r="CF190" s="25"/>
      <c r="CG190" s="25"/>
      <c r="CH190" s="25"/>
      <c r="CI190" s="25"/>
      <c r="CJ190" s="25"/>
      <c r="CK190" s="25"/>
      <c r="CL190" s="25"/>
      <c r="CM190" s="25"/>
      <c r="CN190" s="25"/>
      <c r="CO190" s="25"/>
      <c r="CP190" s="25"/>
      <c r="CQ190" s="25"/>
      <c r="CR190" s="25"/>
      <c r="CS190" s="25"/>
      <c r="CT190" s="25"/>
      <c r="CU190" s="25"/>
      <c r="CV190" s="25"/>
      <c r="CW190" s="25"/>
      <c r="CX190" s="25"/>
      <c r="CY190" s="25"/>
      <c r="CZ190" s="25"/>
      <c r="DA190" s="25"/>
      <c r="DB190" s="25"/>
      <c r="DC190" s="25"/>
      <c r="DD190" s="25"/>
      <c r="DE190" s="25"/>
      <c r="DF190" s="25"/>
      <c r="DG190" s="25"/>
      <c r="DH190" s="25"/>
      <c r="DI190" s="25"/>
      <c r="DJ190" s="25"/>
      <c r="DK190" s="25"/>
      <c r="DL190" s="25"/>
      <c r="DM190" s="25"/>
      <c r="DN190" s="25"/>
      <c r="DO190" s="25"/>
      <c r="DP190" s="25"/>
      <c r="DQ190" s="25"/>
    </row>
    <row r="191" spans="1:121" s="26" customFormat="1" ht="24.95" customHeight="1" x14ac:dyDescent="0.25">
      <c r="A191" s="898">
        <v>230</v>
      </c>
      <c r="B191" s="666">
        <v>3412</v>
      </c>
      <c r="C191" s="667">
        <v>6121</v>
      </c>
      <c r="D191" s="1229">
        <v>8194</v>
      </c>
      <c r="E191" s="603" t="s">
        <v>397</v>
      </c>
      <c r="F191" s="383" t="s">
        <v>121</v>
      </c>
      <c r="G191" s="111">
        <v>400</v>
      </c>
      <c r="H191" s="111">
        <v>2017</v>
      </c>
      <c r="I191" s="557">
        <v>2020</v>
      </c>
      <c r="J191" s="462">
        <f t="shared" si="32"/>
        <v>26947</v>
      </c>
      <c r="K191" s="463">
        <v>187</v>
      </c>
      <c r="L191" s="468">
        <v>660</v>
      </c>
      <c r="M191" s="465">
        <f t="shared" si="33"/>
        <v>3100</v>
      </c>
      <c r="N191" s="466">
        <v>1100</v>
      </c>
      <c r="O191" s="475">
        <f>5000-3000</f>
        <v>2000</v>
      </c>
      <c r="P191" s="467">
        <v>0</v>
      </c>
      <c r="Q191" s="464">
        <v>0</v>
      </c>
      <c r="R191" s="722">
        <f>20000+3000</f>
        <v>23000</v>
      </c>
      <c r="S191" s="467">
        <v>0</v>
      </c>
      <c r="T191" s="464">
        <v>0</v>
      </c>
      <c r="U191" s="469">
        <v>0</v>
      </c>
      <c r="V191" s="467">
        <v>0</v>
      </c>
      <c r="W191" s="464">
        <v>0</v>
      </c>
      <c r="X191" s="469">
        <v>0</v>
      </c>
      <c r="Y191" s="467">
        <v>0</v>
      </c>
      <c r="Z191" s="468">
        <v>0</v>
      </c>
      <c r="AA191" s="478">
        <v>0</v>
      </c>
      <c r="AB191" s="25"/>
      <c r="AC191" s="25"/>
      <c r="AD191" s="25"/>
      <c r="AE191" s="25"/>
      <c r="AF191" s="25"/>
      <c r="AG191" s="25"/>
      <c r="AH191" s="25"/>
      <c r="AI191" s="25"/>
      <c r="AJ191" s="25"/>
      <c r="AK191" s="25"/>
      <c r="AL191" s="25"/>
      <c r="AM191" s="25"/>
      <c r="AN191" s="25"/>
      <c r="AO191" s="25"/>
      <c r="AP191" s="25"/>
      <c r="AQ191" s="25"/>
      <c r="AR191" s="25"/>
      <c r="AS191" s="25"/>
      <c r="AT191" s="25"/>
      <c r="AU191" s="25"/>
      <c r="AV191" s="25"/>
      <c r="AW191" s="25"/>
      <c r="AX191" s="25"/>
      <c r="AY191" s="25"/>
      <c r="AZ191" s="25"/>
      <c r="BA191" s="25"/>
      <c r="BB191" s="25"/>
      <c r="BC191" s="25"/>
      <c r="BD191" s="25"/>
      <c r="BE191" s="25"/>
      <c r="BF191" s="25"/>
      <c r="BG191" s="25"/>
      <c r="BH191" s="25"/>
      <c r="BI191" s="25"/>
      <c r="BJ191" s="25"/>
      <c r="BK191" s="25"/>
      <c r="BL191" s="25"/>
      <c r="BM191" s="25"/>
      <c r="BN191" s="25"/>
      <c r="BO191" s="25"/>
      <c r="BP191" s="25"/>
      <c r="BQ191" s="25"/>
      <c r="BR191" s="25"/>
      <c r="BS191" s="25"/>
      <c r="BT191" s="25"/>
      <c r="BU191" s="25"/>
      <c r="BV191" s="25"/>
      <c r="BW191" s="25"/>
      <c r="BX191" s="25"/>
      <c r="BY191" s="25"/>
      <c r="BZ191" s="25"/>
      <c r="CA191" s="25"/>
      <c r="CB191" s="25"/>
      <c r="CC191" s="25"/>
      <c r="CD191" s="25"/>
      <c r="CE191" s="25"/>
      <c r="CF191" s="25"/>
      <c r="CG191" s="25"/>
      <c r="CH191" s="25"/>
      <c r="CI191" s="25"/>
      <c r="CJ191" s="25"/>
      <c r="CK191" s="25"/>
      <c r="CL191" s="25"/>
      <c r="CM191" s="25"/>
      <c r="CN191" s="25"/>
      <c r="CO191" s="25"/>
      <c r="CP191" s="25"/>
      <c r="CQ191" s="25"/>
      <c r="CR191" s="25"/>
      <c r="CS191" s="25"/>
      <c r="CT191" s="25"/>
      <c r="CU191" s="25"/>
      <c r="CV191" s="25"/>
      <c r="CW191" s="25"/>
      <c r="CX191" s="25"/>
      <c r="CY191" s="25"/>
      <c r="CZ191" s="25"/>
      <c r="DA191" s="25"/>
      <c r="DB191" s="25"/>
      <c r="DC191" s="25"/>
      <c r="DD191" s="25"/>
      <c r="DE191" s="25"/>
      <c r="DF191" s="25"/>
      <c r="DG191" s="25"/>
      <c r="DH191" s="25"/>
      <c r="DI191" s="25"/>
      <c r="DJ191" s="25"/>
      <c r="DK191" s="25"/>
      <c r="DL191" s="25"/>
      <c r="DM191" s="25"/>
      <c r="DN191" s="25"/>
      <c r="DO191" s="25"/>
      <c r="DP191" s="25"/>
      <c r="DQ191" s="25"/>
    </row>
    <row r="192" spans="1:121" s="26" customFormat="1" ht="24.95" customHeight="1" x14ac:dyDescent="0.25">
      <c r="A192" s="898">
        <v>230</v>
      </c>
      <c r="B192" s="727">
        <v>3412</v>
      </c>
      <c r="C192" s="728">
        <v>6121</v>
      </c>
      <c r="D192" s="1245">
        <v>8200</v>
      </c>
      <c r="E192" s="1224" t="s">
        <v>396</v>
      </c>
      <c r="F192" s="383" t="s">
        <v>168</v>
      </c>
      <c r="G192" s="111">
        <v>400</v>
      </c>
      <c r="H192" s="111">
        <v>2016</v>
      </c>
      <c r="I192" s="557">
        <v>2019</v>
      </c>
      <c r="J192" s="462">
        <f t="shared" si="32"/>
        <v>45469</v>
      </c>
      <c r="K192" s="463">
        <v>869</v>
      </c>
      <c r="L192" s="468">
        <v>3486</v>
      </c>
      <c r="M192" s="465">
        <f t="shared" si="33"/>
        <v>36114</v>
      </c>
      <c r="N192" s="466">
        <v>15114</v>
      </c>
      <c r="O192" s="475">
        <f>26000-5000</f>
        <v>21000</v>
      </c>
      <c r="P192" s="467">
        <v>0</v>
      </c>
      <c r="Q192" s="464">
        <v>0</v>
      </c>
      <c r="R192" s="722">
        <v>5000</v>
      </c>
      <c r="S192" s="467">
        <v>0</v>
      </c>
      <c r="T192" s="464">
        <v>0</v>
      </c>
      <c r="U192" s="469">
        <v>0</v>
      </c>
      <c r="V192" s="467">
        <v>0</v>
      </c>
      <c r="W192" s="464">
        <v>0</v>
      </c>
      <c r="X192" s="469">
        <v>0</v>
      </c>
      <c r="Y192" s="467">
        <v>0</v>
      </c>
      <c r="Z192" s="468">
        <v>0</v>
      </c>
      <c r="AA192" s="478">
        <v>0</v>
      </c>
      <c r="AB192" s="25"/>
      <c r="AC192" s="25"/>
      <c r="AD192" s="25"/>
      <c r="AE192" s="25"/>
      <c r="AF192" s="25"/>
      <c r="AG192" s="25"/>
      <c r="AH192" s="25"/>
      <c r="AI192" s="25"/>
      <c r="AJ192" s="25"/>
      <c r="AK192" s="25"/>
      <c r="AL192" s="25"/>
      <c r="AM192" s="25"/>
      <c r="AN192" s="25"/>
      <c r="AO192" s="25"/>
      <c r="AP192" s="25"/>
      <c r="AQ192" s="25"/>
      <c r="AR192" s="25"/>
      <c r="AS192" s="25"/>
      <c r="AT192" s="25"/>
      <c r="AU192" s="25"/>
      <c r="AV192" s="25"/>
      <c r="AW192" s="25"/>
      <c r="AX192" s="25"/>
      <c r="AY192" s="25"/>
      <c r="AZ192" s="25"/>
      <c r="BA192" s="25"/>
      <c r="BB192" s="25"/>
      <c r="BC192" s="25"/>
      <c r="BD192" s="25"/>
      <c r="BE192" s="25"/>
      <c r="BF192" s="25"/>
      <c r="BG192" s="25"/>
      <c r="BH192" s="25"/>
      <c r="BI192" s="25"/>
      <c r="BJ192" s="25"/>
      <c r="BK192" s="25"/>
      <c r="BL192" s="25"/>
      <c r="BM192" s="25"/>
      <c r="BN192" s="25"/>
      <c r="BO192" s="25"/>
      <c r="BP192" s="25"/>
      <c r="BQ192" s="25"/>
      <c r="BR192" s="25"/>
      <c r="BS192" s="25"/>
      <c r="BT192" s="25"/>
      <c r="BU192" s="25"/>
      <c r="BV192" s="25"/>
      <c r="BW192" s="25"/>
      <c r="BX192" s="25"/>
      <c r="BY192" s="25"/>
      <c r="BZ192" s="25"/>
      <c r="CA192" s="25"/>
      <c r="CB192" s="25"/>
      <c r="CC192" s="25"/>
      <c r="CD192" s="25"/>
      <c r="CE192" s="25"/>
      <c r="CF192" s="25"/>
      <c r="CG192" s="25"/>
      <c r="CH192" s="25"/>
      <c r="CI192" s="25"/>
      <c r="CJ192" s="25"/>
      <c r="CK192" s="25"/>
      <c r="CL192" s="25"/>
      <c r="CM192" s="25"/>
      <c r="CN192" s="25"/>
      <c r="CO192" s="25"/>
      <c r="CP192" s="25"/>
      <c r="CQ192" s="25"/>
      <c r="CR192" s="25"/>
      <c r="CS192" s="25"/>
      <c r="CT192" s="25"/>
      <c r="CU192" s="25"/>
      <c r="CV192" s="25"/>
      <c r="CW192" s="25"/>
      <c r="CX192" s="25"/>
      <c r="CY192" s="25"/>
      <c r="CZ192" s="25"/>
      <c r="DA192" s="25"/>
      <c r="DB192" s="25"/>
      <c r="DC192" s="25"/>
      <c r="DD192" s="25"/>
      <c r="DE192" s="25"/>
      <c r="DF192" s="25"/>
      <c r="DG192" s="25"/>
      <c r="DH192" s="25"/>
      <c r="DI192" s="25"/>
      <c r="DJ192" s="25"/>
      <c r="DK192" s="25"/>
      <c r="DL192" s="25"/>
      <c r="DM192" s="25"/>
      <c r="DN192" s="25"/>
      <c r="DO192" s="25"/>
      <c r="DP192" s="25"/>
      <c r="DQ192" s="25"/>
    </row>
    <row r="193" spans="1:121" s="26" customFormat="1" ht="24.95" customHeight="1" x14ac:dyDescent="0.25">
      <c r="A193" s="898">
        <v>230</v>
      </c>
      <c r="B193" s="781">
        <v>3412</v>
      </c>
      <c r="C193" s="782">
        <v>6121</v>
      </c>
      <c r="D193" s="988">
        <v>8229</v>
      </c>
      <c r="E193" s="983" t="s">
        <v>395</v>
      </c>
      <c r="F193" s="383" t="s">
        <v>176</v>
      </c>
      <c r="G193" s="111">
        <v>400</v>
      </c>
      <c r="H193" s="111">
        <v>2019</v>
      </c>
      <c r="I193" s="557">
        <v>2019</v>
      </c>
      <c r="J193" s="462">
        <f t="shared" si="32"/>
        <v>0</v>
      </c>
      <c r="K193" s="463">
        <v>0</v>
      </c>
      <c r="L193" s="468">
        <v>0</v>
      </c>
      <c r="M193" s="465">
        <f t="shared" si="33"/>
        <v>0</v>
      </c>
      <c r="N193" s="466">
        <v>0</v>
      </c>
      <c r="O193" s="475">
        <f>4500-4500</f>
        <v>0</v>
      </c>
      <c r="P193" s="467">
        <v>0</v>
      </c>
      <c r="Q193" s="464">
        <v>0</v>
      </c>
      <c r="R193" s="469">
        <v>0</v>
      </c>
      <c r="S193" s="467">
        <v>0</v>
      </c>
      <c r="T193" s="464">
        <v>0</v>
      </c>
      <c r="U193" s="469">
        <v>0</v>
      </c>
      <c r="V193" s="467">
        <v>0</v>
      </c>
      <c r="W193" s="464">
        <v>0</v>
      </c>
      <c r="X193" s="469">
        <v>0</v>
      </c>
      <c r="Y193" s="467">
        <v>0</v>
      </c>
      <c r="Z193" s="468">
        <v>0</v>
      </c>
      <c r="AA193" s="478">
        <v>0</v>
      </c>
      <c r="AB193" s="25"/>
      <c r="AC193" s="25"/>
      <c r="AD193" s="25"/>
      <c r="AE193" s="25"/>
      <c r="AF193" s="25"/>
      <c r="AG193" s="25"/>
      <c r="AH193" s="25"/>
      <c r="AI193" s="25"/>
      <c r="AJ193" s="25"/>
      <c r="AK193" s="25"/>
      <c r="AL193" s="25"/>
      <c r="AM193" s="25"/>
      <c r="AN193" s="25"/>
      <c r="AO193" s="25"/>
      <c r="AP193" s="25"/>
      <c r="AQ193" s="25"/>
      <c r="AR193" s="25"/>
      <c r="AS193" s="25"/>
      <c r="AT193" s="25"/>
      <c r="AU193" s="25"/>
      <c r="AV193" s="25"/>
      <c r="AW193" s="25"/>
      <c r="AX193" s="25"/>
      <c r="AY193" s="25"/>
      <c r="AZ193" s="25"/>
      <c r="BA193" s="25"/>
      <c r="BB193" s="25"/>
      <c r="BC193" s="25"/>
      <c r="BD193" s="25"/>
      <c r="BE193" s="25"/>
      <c r="BF193" s="25"/>
      <c r="BG193" s="25"/>
      <c r="BH193" s="25"/>
      <c r="BI193" s="25"/>
      <c r="BJ193" s="25"/>
      <c r="BK193" s="25"/>
      <c r="BL193" s="25"/>
      <c r="BM193" s="25"/>
      <c r="BN193" s="25"/>
      <c r="BO193" s="25"/>
      <c r="BP193" s="25"/>
      <c r="BQ193" s="25"/>
      <c r="BR193" s="25"/>
      <c r="BS193" s="25"/>
      <c r="BT193" s="25"/>
      <c r="BU193" s="25"/>
      <c r="BV193" s="25"/>
      <c r="BW193" s="25"/>
      <c r="BX193" s="25"/>
      <c r="BY193" s="25"/>
      <c r="BZ193" s="25"/>
      <c r="CA193" s="25"/>
      <c r="CB193" s="25"/>
      <c r="CC193" s="25"/>
      <c r="CD193" s="25"/>
      <c r="CE193" s="25"/>
      <c r="CF193" s="25"/>
      <c r="CG193" s="25"/>
      <c r="CH193" s="25"/>
      <c r="CI193" s="25"/>
      <c r="CJ193" s="25"/>
      <c r="CK193" s="25"/>
      <c r="CL193" s="25"/>
      <c r="CM193" s="25"/>
      <c r="CN193" s="25"/>
      <c r="CO193" s="25"/>
      <c r="CP193" s="25"/>
      <c r="CQ193" s="25"/>
      <c r="CR193" s="25"/>
      <c r="CS193" s="25"/>
      <c r="CT193" s="25"/>
      <c r="CU193" s="25"/>
      <c r="CV193" s="25"/>
      <c r="CW193" s="25"/>
      <c r="CX193" s="25"/>
      <c r="CY193" s="25"/>
      <c r="CZ193" s="25"/>
      <c r="DA193" s="25"/>
      <c r="DB193" s="25"/>
      <c r="DC193" s="25"/>
      <c r="DD193" s="25"/>
      <c r="DE193" s="25"/>
      <c r="DF193" s="25"/>
      <c r="DG193" s="25"/>
      <c r="DH193" s="25"/>
      <c r="DI193" s="25"/>
      <c r="DJ193" s="25"/>
      <c r="DK193" s="25"/>
      <c r="DL193" s="25"/>
      <c r="DM193" s="25"/>
      <c r="DN193" s="25"/>
      <c r="DO193" s="25"/>
      <c r="DP193" s="25"/>
      <c r="DQ193" s="25"/>
    </row>
    <row r="194" spans="1:121" s="26" customFormat="1" ht="24.95" customHeight="1" x14ac:dyDescent="0.25">
      <c r="A194" s="476">
        <v>230</v>
      </c>
      <c r="B194" s="646">
        <v>3412</v>
      </c>
      <c r="C194" s="534">
        <v>6121</v>
      </c>
      <c r="D194" s="1037">
        <v>8243</v>
      </c>
      <c r="E194" s="606" t="s">
        <v>394</v>
      </c>
      <c r="F194" s="625" t="s">
        <v>194</v>
      </c>
      <c r="G194" s="537">
        <v>400</v>
      </c>
      <c r="H194" s="537">
        <v>2018</v>
      </c>
      <c r="I194" s="721">
        <v>2019</v>
      </c>
      <c r="J194" s="613">
        <f>K194+L194+M194+SUM(R194:AE194)</f>
        <v>70000</v>
      </c>
      <c r="K194" s="614">
        <v>0</v>
      </c>
      <c r="L194" s="468">
        <v>0</v>
      </c>
      <c r="M194" s="615">
        <f t="shared" si="33"/>
        <v>2000</v>
      </c>
      <c r="N194" s="616">
        <v>0</v>
      </c>
      <c r="O194" s="118">
        <f>3000-1000</f>
        <v>2000</v>
      </c>
      <c r="P194" s="614">
        <v>0</v>
      </c>
      <c r="Q194" s="617">
        <v>0</v>
      </c>
      <c r="R194" s="628">
        <f>35000-15000</f>
        <v>20000</v>
      </c>
      <c r="S194" s="122">
        <v>0</v>
      </c>
      <c r="T194" s="123">
        <v>0</v>
      </c>
      <c r="U194" s="124">
        <f>32000+1000</f>
        <v>33000</v>
      </c>
      <c r="V194" s="122">
        <v>0</v>
      </c>
      <c r="W194" s="120">
        <v>0</v>
      </c>
      <c r="X194" s="121">
        <v>15000</v>
      </c>
      <c r="Y194" s="122">
        <v>0</v>
      </c>
      <c r="Z194" s="120">
        <v>0</v>
      </c>
      <c r="AA194" s="1201">
        <v>0</v>
      </c>
      <c r="AB194" s="25"/>
      <c r="AC194" s="25"/>
      <c r="AD194" s="25"/>
      <c r="AE194" s="25"/>
      <c r="AF194" s="25"/>
      <c r="AG194" s="25"/>
      <c r="AH194" s="25"/>
      <c r="AI194" s="25"/>
      <c r="AJ194" s="25"/>
      <c r="AK194" s="25"/>
      <c r="AL194" s="25"/>
      <c r="AM194" s="25"/>
      <c r="AN194" s="25"/>
      <c r="AO194" s="25"/>
      <c r="AP194" s="25"/>
      <c r="AQ194" s="25"/>
      <c r="AR194" s="25"/>
      <c r="AS194" s="25"/>
      <c r="AT194" s="25"/>
      <c r="AU194" s="25"/>
      <c r="AV194" s="25"/>
      <c r="AW194" s="25"/>
      <c r="AX194" s="25"/>
      <c r="AY194" s="25"/>
      <c r="AZ194" s="25"/>
      <c r="BA194" s="25"/>
      <c r="BB194" s="25"/>
      <c r="BC194" s="25"/>
      <c r="BD194" s="25"/>
      <c r="BE194" s="25"/>
      <c r="BF194" s="25"/>
      <c r="BG194" s="25"/>
      <c r="BH194" s="25"/>
      <c r="BI194" s="25"/>
      <c r="BJ194" s="25"/>
      <c r="BK194" s="25"/>
      <c r="BL194" s="25"/>
      <c r="BM194" s="25"/>
      <c r="BN194" s="25"/>
      <c r="BO194" s="25"/>
      <c r="BP194" s="25"/>
      <c r="BQ194" s="25"/>
      <c r="BR194" s="25"/>
      <c r="BS194" s="25"/>
      <c r="BT194" s="25"/>
      <c r="BU194" s="25"/>
      <c r="BV194" s="25"/>
      <c r="BW194" s="25"/>
      <c r="BX194" s="25"/>
      <c r="BY194" s="25"/>
      <c r="BZ194" s="25"/>
      <c r="CA194" s="25"/>
      <c r="CB194" s="25"/>
      <c r="CC194" s="25"/>
      <c r="CD194" s="25"/>
      <c r="CE194" s="25"/>
      <c r="CF194" s="25"/>
      <c r="CG194" s="25"/>
      <c r="CH194" s="25"/>
      <c r="CI194" s="25"/>
      <c r="CJ194" s="25"/>
      <c r="CK194" s="25"/>
      <c r="CL194" s="25"/>
      <c r="CM194" s="25"/>
      <c r="CN194" s="25"/>
      <c r="CO194" s="25"/>
      <c r="CP194" s="25"/>
      <c r="CQ194" s="25"/>
      <c r="CR194" s="25"/>
      <c r="CS194" s="25"/>
      <c r="CT194" s="25"/>
      <c r="CU194" s="25"/>
      <c r="CV194" s="25"/>
      <c r="CW194" s="25"/>
      <c r="CX194" s="25"/>
      <c r="CY194" s="25"/>
      <c r="CZ194" s="25"/>
      <c r="DA194" s="25"/>
      <c r="DB194" s="25"/>
      <c r="DC194" s="25"/>
      <c r="DD194" s="25"/>
      <c r="DE194" s="25"/>
      <c r="DF194" s="25"/>
      <c r="DG194" s="25"/>
      <c r="DH194" s="25"/>
      <c r="DI194" s="25"/>
      <c r="DJ194" s="25"/>
      <c r="DK194" s="25"/>
      <c r="DL194" s="25"/>
      <c r="DM194" s="25"/>
      <c r="DN194" s="25"/>
      <c r="DO194" s="25"/>
      <c r="DP194" s="25"/>
      <c r="DQ194" s="25"/>
    </row>
    <row r="195" spans="1:121" s="26" customFormat="1" ht="24.95" customHeight="1" x14ac:dyDescent="0.25">
      <c r="A195" s="476">
        <v>230</v>
      </c>
      <c r="B195" s="646">
        <v>3412</v>
      </c>
      <c r="C195" s="534">
        <v>6121</v>
      </c>
      <c r="D195" s="1037"/>
      <c r="E195" s="606" t="s">
        <v>393</v>
      </c>
      <c r="F195" s="625" t="s">
        <v>392</v>
      </c>
      <c r="G195" s="537">
        <v>400</v>
      </c>
      <c r="H195" s="537">
        <v>2018</v>
      </c>
      <c r="I195" s="626">
        <v>2019</v>
      </c>
      <c r="J195" s="613">
        <f>K195+L195+M195+SUM(R195:AE195)</f>
        <v>42454</v>
      </c>
      <c r="K195" s="614">
        <v>0</v>
      </c>
      <c r="L195" s="468">
        <v>0</v>
      </c>
      <c r="M195" s="615">
        <f t="shared" si="33"/>
        <v>0</v>
      </c>
      <c r="N195" s="616">
        <v>0</v>
      </c>
      <c r="O195" s="118">
        <f>10000-10000</f>
        <v>0</v>
      </c>
      <c r="P195" s="614">
        <v>0</v>
      </c>
      <c r="Q195" s="617">
        <v>0</v>
      </c>
      <c r="R195" s="628">
        <f>20000+10000</f>
        <v>30000</v>
      </c>
      <c r="S195" s="122">
        <v>0</v>
      </c>
      <c r="T195" s="123">
        <v>2454</v>
      </c>
      <c r="U195" s="124">
        <v>10000</v>
      </c>
      <c r="V195" s="122">
        <v>0</v>
      </c>
      <c r="W195" s="120">
        <v>0</v>
      </c>
      <c r="X195" s="121">
        <v>0</v>
      </c>
      <c r="Y195" s="122">
        <v>0</v>
      </c>
      <c r="Z195" s="120">
        <v>0</v>
      </c>
      <c r="AA195" s="135">
        <v>0</v>
      </c>
      <c r="AB195" s="25"/>
      <c r="AC195" s="25"/>
      <c r="AD195" s="25"/>
      <c r="AE195" s="25"/>
      <c r="AF195" s="25"/>
      <c r="AG195" s="25"/>
      <c r="AH195" s="25"/>
      <c r="AI195" s="25"/>
      <c r="AJ195" s="25"/>
      <c r="AK195" s="25"/>
      <c r="AL195" s="25"/>
      <c r="AM195" s="25"/>
      <c r="AN195" s="25"/>
      <c r="AO195" s="25"/>
      <c r="AP195" s="25"/>
      <c r="AQ195" s="25"/>
      <c r="AR195" s="25"/>
      <c r="AS195" s="25"/>
      <c r="AT195" s="25"/>
      <c r="AU195" s="25"/>
      <c r="AV195" s="25"/>
      <c r="AW195" s="25"/>
      <c r="AX195" s="25"/>
      <c r="AY195" s="25"/>
      <c r="AZ195" s="25"/>
      <c r="BA195" s="25"/>
      <c r="BB195" s="25"/>
      <c r="BC195" s="25"/>
      <c r="BD195" s="25"/>
      <c r="BE195" s="25"/>
      <c r="BF195" s="25"/>
      <c r="BG195" s="25"/>
      <c r="BH195" s="25"/>
      <c r="BI195" s="25"/>
      <c r="BJ195" s="25"/>
      <c r="BK195" s="25"/>
      <c r="BL195" s="25"/>
      <c r="BM195" s="25"/>
      <c r="BN195" s="25"/>
      <c r="BO195" s="25"/>
      <c r="BP195" s="25"/>
      <c r="BQ195" s="25"/>
      <c r="BR195" s="25"/>
      <c r="BS195" s="25"/>
      <c r="BT195" s="25"/>
      <c r="BU195" s="25"/>
      <c r="BV195" s="25"/>
      <c r="BW195" s="25"/>
      <c r="BX195" s="25"/>
      <c r="BY195" s="25"/>
      <c r="BZ195" s="25"/>
      <c r="CA195" s="25"/>
      <c r="CB195" s="25"/>
      <c r="CC195" s="25"/>
      <c r="CD195" s="25"/>
      <c r="CE195" s="25"/>
      <c r="CF195" s="25"/>
      <c r="CG195" s="25"/>
      <c r="CH195" s="25"/>
      <c r="CI195" s="25"/>
      <c r="CJ195" s="25"/>
      <c r="CK195" s="25"/>
      <c r="CL195" s="25"/>
      <c r="CM195" s="25"/>
      <c r="CN195" s="25"/>
      <c r="CO195" s="25"/>
      <c r="CP195" s="25"/>
      <c r="CQ195" s="25"/>
      <c r="CR195" s="25"/>
      <c r="CS195" s="25"/>
      <c r="CT195" s="25"/>
      <c r="CU195" s="25"/>
      <c r="CV195" s="25"/>
      <c r="CW195" s="25"/>
      <c r="CX195" s="25"/>
      <c r="CY195" s="25"/>
      <c r="CZ195" s="25"/>
      <c r="DA195" s="25"/>
      <c r="DB195" s="25"/>
      <c r="DC195" s="25"/>
      <c r="DD195" s="25"/>
      <c r="DE195" s="25"/>
      <c r="DF195" s="25"/>
      <c r="DG195" s="25"/>
      <c r="DH195" s="25"/>
      <c r="DI195" s="25"/>
      <c r="DJ195" s="25"/>
      <c r="DK195" s="25"/>
      <c r="DL195" s="25"/>
      <c r="DM195" s="25"/>
      <c r="DN195" s="25"/>
      <c r="DO195" s="25"/>
      <c r="DP195" s="25"/>
      <c r="DQ195" s="25"/>
    </row>
    <row r="196" spans="1:121" s="26" customFormat="1" ht="24.95" customHeight="1" x14ac:dyDescent="0.25">
      <c r="A196" s="665">
        <v>230</v>
      </c>
      <c r="B196" s="666">
        <v>3421</v>
      </c>
      <c r="C196" s="667">
        <v>6322</v>
      </c>
      <c r="D196" s="1246">
        <v>3214</v>
      </c>
      <c r="E196" s="1225" t="s">
        <v>390</v>
      </c>
      <c r="F196" s="439" t="s">
        <v>127</v>
      </c>
      <c r="G196" s="440">
        <v>400</v>
      </c>
      <c r="H196" s="1206">
        <v>2017</v>
      </c>
      <c r="I196" s="441">
        <v>2019</v>
      </c>
      <c r="J196" s="442">
        <f t="shared" ref="J196:J226" si="34">K196+L196+M196+SUM(R196:AA196)</f>
        <v>17972</v>
      </c>
      <c r="K196" s="443">
        <v>86</v>
      </c>
      <c r="L196" s="444">
        <f>5886+2000</f>
        <v>7886</v>
      </c>
      <c r="M196" s="445">
        <f t="shared" ref="M196:M227" si="35">N196+O196+P196+Q196</f>
        <v>10000</v>
      </c>
      <c r="N196" s="446">
        <f>8000-2000</f>
        <v>6000</v>
      </c>
      <c r="O196" s="447">
        <v>4000</v>
      </c>
      <c r="P196" s="448">
        <v>0</v>
      </c>
      <c r="Q196" s="444">
        <v>0</v>
      </c>
      <c r="R196" s="449">
        <v>0</v>
      </c>
      <c r="S196" s="448">
        <v>0</v>
      </c>
      <c r="T196" s="444">
        <v>0</v>
      </c>
      <c r="U196" s="449">
        <v>0</v>
      </c>
      <c r="V196" s="448">
        <v>0</v>
      </c>
      <c r="W196" s="444">
        <v>0</v>
      </c>
      <c r="X196" s="449">
        <v>0</v>
      </c>
      <c r="Y196" s="448">
        <v>0</v>
      </c>
      <c r="Z196" s="492">
        <v>0</v>
      </c>
      <c r="AA196" s="493">
        <v>0</v>
      </c>
      <c r="AB196" s="1062"/>
      <c r="AC196" s="25"/>
      <c r="AD196" s="25"/>
      <c r="AE196" s="25"/>
      <c r="AF196" s="25"/>
      <c r="AG196" s="25"/>
      <c r="AH196" s="25"/>
      <c r="AI196" s="25"/>
      <c r="AJ196" s="25"/>
      <c r="AK196" s="25"/>
      <c r="AL196" s="25"/>
      <c r="AM196" s="25"/>
      <c r="AN196" s="25"/>
      <c r="AO196" s="25"/>
      <c r="AP196" s="25"/>
      <c r="AQ196" s="25"/>
      <c r="AR196" s="25"/>
      <c r="AS196" s="25"/>
      <c r="AT196" s="25"/>
      <c r="AU196" s="25"/>
      <c r="AV196" s="25"/>
      <c r="AW196" s="25"/>
      <c r="AX196" s="25"/>
      <c r="AY196" s="25"/>
      <c r="AZ196" s="25"/>
      <c r="BA196" s="25"/>
      <c r="BB196" s="25"/>
      <c r="BC196" s="25"/>
      <c r="BD196" s="25"/>
      <c r="BE196" s="25"/>
      <c r="BF196" s="25"/>
      <c r="BG196" s="25"/>
      <c r="BH196" s="25"/>
      <c r="BI196" s="25"/>
      <c r="BJ196" s="25"/>
      <c r="BK196" s="25"/>
      <c r="BL196" s="25"/>
      <c r="BM196" s="25"/>
      <c r="BN196" s="25"/>
      <c r="BO196" s="25"/>
      <c r="BP196" s="25"/>
      <c r="BQ196" s="25"/>
      <c r="BR196" s="25"/>
      <c r="BS196" s="25"/>
      <c r="BT196" s="25"/>
      <c r="BU196" s="25"/>
      <c r="BV196" s="25"/>
      <c r="BW196" s="25"/>
      <c r="BX196" s="25"/>
      <c r="BY196" s="25"/>
      <c r="BZ196" s="25"/>
      <c r="CA196" s="25"/>
      <c r="CB196" s="25"/>
      <c r="CC196" s="25"/>
      <c r="CD196" s="25"/>
      <c r="CE196" s="25"/>
      <c r="CF196" s="25"/>
      <c r="CG196" s="25"/>
      <c r="CH196" s="25"/>
      <c r="CI196" s="25"/>
      <c r="CJ196" s="25"/>
      <c r="CK196" s="25"/>
      <c r="CL196" s="25"/>
      <c r="CM196" s="25"/>
      <c r="CN196" s="25"/>
      <c r="CO196" s="25"/>
      <c r="CP196" s="25"/>
      <c r="CQ196" s="25"/>
      <c r="CR196" s="25"/>
      <c r="CS196" s="25"/>
      <c r="CT196" s="25"/>
      <c r="CU196" s="25"/>
      <c r="CV196" s="25"/>
      <c r="CW196" s="25"/>
      <c r="CX196" s="25"/>
      <c r="CY196" s="25"/>
      <c r="CZ196" s="25"/>
      <c r="DA196" s="25"/>
      <c r="DB196" s="25"/>
      <c r="DC196" s="25"/>
      <c r="DD196" s="25"/>
      <c r="DE196" s="25"/>
      <c r="DF196" s="25"/>
      <c r="DG196" s="25"/>
      <c r="DH196" s="25"/>
      <c r="DI196" s="25"/>
      <c r="DJ196" s="25"/>
      <c r="DK196" s="25"/>
      <c r="DL196" s="25"/>
      <c r="DM196" s="25"/>
      <c r="DN196" s="25"/>
      <c r="DO196" s="25"/>
      <c r="DP196" s="25"/>
      <c r="DQ196" s="25"/>
    </row>
    <row r="197" spans="1:121" s="26" customFormat="1" ht="24.95" customHeight="1" x14ac:dyDescent="0.25">
      <c r="A197" s="898">
        <v>230</v>
      </c>
      <c r="B197" s="666">
        <v>3522</v>
      </c>
      <c r="C197" s="667">
        <v>6121</v>
      </c>
      <c r="D197" s="1228">
        <v>6207</v>
      </c>
      <c r="E197" s="788" t="s">
        <v>389</v>
      </c>
      <c r="F197" s="439" t="s">
        <v>127</v>
      </c>
      <c r="G197" s="440">
        <v>400</v>
      </c>
      <c r="H197" s="440">
        <v>2017</v>
      </c>
      <c r="I197" s="441">
        <v>2022</v>
      </c>
      <c r="J197" s="442">
        <f t="shared" si="34"/>
        <v>28957</v>
      </c>
      <c r="K197" s="443">
        <v>710</v>
      </c>
      <c r="L197" s="444">
        <v>748</v>
      </c>
      <c r="M197" s="445">
        <f t="shared" si="35"/>
        <v>4999</v>
      </c>
      <c r="N197" s="446">
        <v>61</v>
      </c>
      <c r="O197" s="447">
        <v>0</v>
      </c>
      <c r="P197" s="448">
        <v>0</v>
      </c>
      <c r="Q197" s="448">
        <v>4938</v>
      </c>
      <c r="R197" s="449">
        <v>0</v>
      </c>
      <c r="S197" s="448">
        <v>0</v>
      </c>
      <c r="T197" s="443">
        <v>15000</v>
      </c>
      <c r="U197" s="449">
        <v>0</v>
      </c>
      <c r="V197" s="448">
        <v>0</v>
      </c>
      <c r="W197" s="443">
        <v>2500</v>
      </c>
      <c r="X197" s="449">
        <v>0</v>
      </c>
      <c r="Y197" s="448">
        <v>0</v>
      </c>
      <c r="Z197" s="540">
        <v>5000</v>
      </c>
      <c r="AA197" s="493">
        <v>0</v>
      </c>
      <c r="AB197" s="25"/>
      <c r="AC197" s="25"/>
      <c r="AD197" s="25"/>
      <c r="AE197" s="25"/>
      <c r="AF197" s="25"/>
      <c r="AG197" s="25"/>
      <c r="AH197" s="25"/>
      <c r="AI197" s="25"/>
      <c r="AJ197" s="25"/>
      <c r="AK197" s="25"/>
      <c r="AL197" s="25"/>
      <c r="AM197" s="25"/>
      <c r="AN197" s="25"/>
      <c r="AO197" s="25"/>
      <c r="AP197" s="25"/>
      <c r="AQ197" s="25"/>
      <c r="AR197" s="25"/>
      <c r="AS197" s="25"/>
      <c r="AT197" s="25"/>
      <c r="AU197" s="25"/>
      <c r="AV197" s="25"/>
      <c r="AW197" s="25"/>
      <c r="AX197" s="25"/>
      <c r="AY197" s="25"/>
      <c r="AZ197" s="25"/>
      <c r="BA197" s="25"/>
      <c r="BB197" s="25"/>
      <c r="BC197" s="25"/>
      <c r="BD197" s="25"/>
      <c r="BE197" s="25"/>
      <c r="BF197" s="25"/>
      <c r="BG197" s="25"/>
      <c r="BH197" s="25"/>
      <c r="BI197" s="25"/>
      <c r="BJ197" s="25"/>
      <c r="BK197" s="25"/>
      <c r="BL197" s="25"/>
      <c r="BM197" s="25"/>
      <c r="BN197" s="25"/>
      <c r="BO197" s="25"/>
      <c r="BP197" s="25"/>
      <c r="BQ197" s="25"/>
      <c r="BR197" s="25"/>
      <c r="BS197" s="25"/>
      <c r="BT197" s="25"/>
      <c r="BU197" s="25"/>
      <c r="BV197" s="25"/>
      <c r="BW197" s="25"/>
      <c r="BX197" s="25"/>
      <c r="BY197" s="25"/>
      <c r="BZ197" s="25"/>
      <c r="CA197" s="25"/>
      <c r="CB197" s="25"/>
      <c r="CC197" s="25"/>
      <c r="CD197" s="25"/>
      <c r="CE197" s="25"/>
      <c r="CF197" s="25"/>
      <c r="CG197" s="25"/>
      <c r="CH197" s="25"/>
      <c r="CI197" s="25"/>
      <c r="CJ197" s="25"/>
      <c r="CK197" s="25"/>
      <c r="CL197" s="25"/>
      <c r="CM197" s="25"/>
      <c r="CN197" s="25"/>
      <c r="CO197" s="25"/>
      <c r="CP197" s="25"/>
      <c r="CQ197" s="25"/>
      <c r="CR197" s="25"/>
      <c r="CS197" s="25"/>
      <c r="CT197" s="25"/>
      <c r="CU197" s="25"/>
      <c r="CV197" s="25"/>
      <c r="CW197" s="25"/>
      <c r="CX197" s="25"/>
      <c r="CY197" s="25"/>
      <c r="CZ197" s="25"/>
      <c r="DA197" s="25"/>
      <c r="DB197" s="25"/>
      <c r="DC197" s="25"/>
      <c r="DD197" s="25"/>
      <c r="DE197" s="25"/>
      <c r="DF197" s="25"/>
      <c r="DG197" s="25"/>
      <c r="DH197" s="25"/>
      <c r="DI197" s="25"/>
      <c r="DJ197" s="25"/>
      <c r="DK197" s="25"/>
      <c r="DL197" s="25"/>
      <c r="DM197" s="25"/>
      <c r="DN197" s="25"/>
      <c r="DO197" s="25"/>
      <c r="DP197" s="25"/>
      <c r="DQ197" s="25"/>
    </row>
    <row r="198" spans="1:121" s="26" customFormat="1" ht="24.95" customHeight="1" x14ac:dyDescent="0.25">
      <c r="A198" s="898">
        <v>230</v>
      </c>
      <c r="B198" s="666">
        <v>3522</v>
      </c>
      <c r="C198" s="667">
        <v>6121</v>
      </c>
      <c r="D198" s="1229">
        <v>6208</v>
      </c>
      <c r="E198" s="603" t="s">
        <v>388</v>
      </c>
      <c r="F198" s="439" t="s">
        <v>127</v>
      </c>
      <c r="G198" s="440">
        <v>400</v>
      </c>
      <c r="H198" s="440">
        <v>2017</v>
      </c>
      <c r="I198" s="441">
        <v>2020</v>
      </c>
      <c r="J198" s="462">
        <f t="shared" si="34"/>
        <v>276000</v>
      </c>
      <c r="K198" s="443">
        <v>0</v>
      </c>
      <c r="L198" s="444">
        <f>4000+4186</f>
        <v>8186</v>
      </c>
      <c r="M198" s="465">
        <f t="shared" si="35"/>
        <v>8634</v>
      </c>
      <c r="N198" s="446">
        <f>12820-4186</f>
        <v>8634</v>
      </c>
      <c r="O198" s="447">
        <v>0</v>
      </c>
      <c r="P198" s="448">
        <v>0</v>
      </c>
      <c r="Q198" s="448">
        <v>0</v>
      </c>
      <c r="R198" s="449">
        <v>0</v>
      </c>
      <c r="S198" s="448">
        <v>0</v>
      </c>
      <c r="T198" s="443">
        <v>150000</v>
      </c>
      <c r="U198" s="449">
        <v>0</v>
      </c>
      <c r="V198" s="448">
        <v>0</v>
      </c>
      <c r="W198" s="443">
        <v>109180</v>
      </c>
      <c r="X198" s="449">
        <v>0</v>
      </c>
      <c r="Y198" s="448">
        <v>0</v>
      </c>
      <c r="Z198" s="540">
        <v>0</v>
      </c>
      <c r="AA198" s="493">
        <v>0</v>
      </c>
      <c r="AB198" s="25"/>
      <c r="AC198" s="25"/>
      <c r="AD198" s="25"/>
      <c r="AE198" s="25"/>
      <c r="AF198" s="25"/>
      <c r="AG198" s="25"/>
      <c r="AH198" s="25"/>
      <c r="AI198" s="25"/>
      <c r="AJ198" s="25"/>
      <c r="AK198" s="25"/>
      <c r="AL198" s="25"/>
      <c r="AM198" s="25"/>
      <c r="AN198" s="25"/>
      <c r="AO198" s="25"/>
      <c r="AP198" s="25"/>
      <c r="AQ198" s="25"/>
      <c r="AR198" s="25"/>
      <c r="AS198" s="25"/>
      <c r="AT198" s="25"/>
      <c r="AU198" s="25"/>
      <c r="AV198" s="25"/>
      <c r="AW198" s="25"/>
      <c r="AX198" s="25"/>
      <c r="AY198" s="25"/>
      <c r="AZ198" s="25"/>
      <c r="BA198" s="25"/>
      <c r="BB198" s="25"/>
      <c r="BC198" s="25"/>
      <c r="BD198" s="25"/>
      <c r="BE198" s="25"/>
      <c r="BF198" s="25"/>
      <c r="BG198" s="25"/>
      <c r="BH198" s="25"/>
      <c r="BI198" s="25"/>
      <c r="BJ198" s="25"/>
      <c r="BK198" s="25"/>
      <c r="BL198" s="25"/>
      <c r="BM198" s="25"/>
      <c r="BN198" s="25"/>
      <c r="BO198" s="25"/>
      <c r="BP198" s="25"/>
      <c r="BQ198" s="25"/>
      <c r="BR198" s="25"/>
      <c r="BS198" s="25"/>
      <c r="BT198" s="25"/>
      <c r="BU198" s="25"/>
      <c r="BV198" s="25"/>
      <c r="BW198" s="25"/>
      <c r="BX198" s="25"/>
      <c r="BY198" s="25"/>
      <c r="BZ198" s="25"/>
      <c r="CA198" s="25"/>
      <c r="CB198" s="25"/>
      <c r="CC198" s="25"/>
      <c r="CD198" s="25"/>
      <c r="CE198" s="25"/>
      <c r="CF198" s="25"/>
      <c r="CG198" s="25"/>
      <c r="CH198" s="25"/>
      <c r="CI198" s="25"/>
      <c r="CJ198" s="25"/>
      <c r="CK198" s="25"/>
      <c r="CL198" s="25"/>
      <c r="CM198" s="25"/>
      <c r="CN198" s="25"/>
      <c r="CO198" s="25"/>
      <c r="CP198" s="25"/>
      <c r="CQ198" s="25"/>
      <c r="CR198" s="25"/>
      <c r="CS198" s="25"/>
      <c r="CT198" s="25"/>
      <c r="CU198" s="25"/>
      <c r="CV198" s="25"/>
      <c r="CW198" s="25"/>
      <c r="CX198" s="25"/>
      <c r="CY198" s="25"/>
      <c r="CZ198" s="25"/>
      <c r="DA198" s="25"/>
      <c r="DB198" s="25"/>
      <c r="DC198" s="25"/>
      <c r="DD198" s="25"/>
      <c r="DE198" s="25"/>
      <c r="DF198" s="25"/>
      <c r="DG198" s="25"/>
      <c r="DH198" s="25"/>
      <c r="DI198" s="25"/>
      <c r="DJ198" s="25"/>
      <c r="DK198" s="25"/>
      <c r="DL198" s="25"/>
      <c r="DM198" s="25"/>
      <c r="DN198" s="25"/>
      <c r="DO198" s="25"/>
      <c r="DP198" s="25"/>
      <c r="DQ198" s="25"/>
    </row>
    <row r="199" spans="1:121" s="26" customFormat="1" ht="24.95" customHeight="1" x14ac:dyDescent="0.25">
      <c r="A199" s="898">
        <v>230</v>
      </c>
      <c r="B199" s="666">
        <v>3522</v>
      </c>
      <c r="C199" s="667">
        <v>6121</v>
      </c>
      <c r="D199" s="1230">
        <v>6209</v>
      </c>
      <c r="E199" s="915" t="s">
        <v>387</v>
      </c>
      <c r="F199" s="439" t="s">
        <v>127</v>
      </c>
      <c r="G199" s="440">
        <v>400</v>
      </c>
      <c r="H199" s="440">
        <v>2018</v>
      </c>
      <c r="I199" s="441">
        <v>2018</v>
      </c>
      <c r="J199" s="462">
        <f t="shared" si="34"/>
        <v>26580</v>
      </c>
      <c r="K199" s="443">
        <v>0</v>
      </c>
      <c r="L199" s="444">
        <f>11000+3618</f>
        <v>14618</v>
      </c>
      <c r="M199" s="465">
        <f t="shared" si="35"/>
        <v>11962</v>
      </c>
      <c r="N199" s="446">
        <f>12500-3618</f>
        <v>8882</v>
      </c>
      <c r="O199" s="447">
        <v>0</v>
      </c>
      <c r="P199" s="448">
        <v>0</v>
      </c>
      <c r="Q199" s="448">
        <v>3080</v>
      </c>
      <c r="R199" s="449">
        <v>0</v>
      </c>
      <c r="S199" s="448">
        <v>0</v>
      </c>
      <c r="T199" s="443">
        <v>0</v>
      </c>
      <c r="U199" s="449">
        <v>0</v>
      </c>
      <c r="V199" s="448">
        <v>0</v>
      </c>
      <c r="W199" s="443">
        <v>0</v>
      </c>
      <c r="X199" s="449">
        <v>0</v>
      </c>
      <c r="Y199" s="448">
        <v>0</v>
      </c>
      <c r="Z199" s="540">
        <v>0</v>
      </c>
      <c r="AA199" s="493">
        <v>0</v>
      </c>
      <c r="AB199" s="25"/>
      <c r="AC199" s="25"/>
      <c r="AD199" s="25"/>
      <c r="AE199" s="25"/>
      <c r="AF199" s="25"/>
      <c r="AG199" s="25"/>
      <c r="AH199" s="25"/>
      <c r="AI199" s="25"/>
      <c r="AJ199" s="25"/>
      <c r="AK199" s="25"/>
      <c r="AL199" s="25"/>
      <c r="AM199" s="25"/>
      <c r="AN199" s="25"/>
      <c r="AO199" s="25"/>
      <c r="AP199" s="25"/>
      <c r="AQ199" s="25"/>
      <c r="AR199" s="25"/>
      <c r="AS199" s="25"/>
      <c r="AT199" s="25"/>
      <c r="AU199" s="25"/>
      <c r="AV199" s="25"/>
      <c r="AW199" s="25"/>
      <c r="AX199" s="25"/>
      <c r="AY199" s="25"/>
      <c r="AZ199" s="25"/>
      <c r="BA199" s="25"/>
      <c r="BB199" s="25"/>
      <c r="BC199" s="25"/>
      <c r="BD199" s="25"/>
      <c r="BE199" s="25"/>
      <c r="BF199" s="25"/>
      <c r="BG199" s="25"/>
      <c r="BH199" s="25"/>
      <c r="BI199" s="25"/>
      <c r="BJ199" s="25"/>
      <c r="BK199" s="25"/>
      <c r="BL199" s="25"/>
      <c r="BM199" s="25"/>
      <c r="BN199" s="25"/>
      <c r="BO199" s="25"/>
      <c r="BP199" s="25"/>
      <c r="BQ199" s="25"/>
      <c r="BR199" s="25"/>
      <c r="BS199" s="25"/>
      <c r="BT199" s="25"/>
      <c r="BU199" s="25"/>
      <c r="BV199" s="25"/>
      <c r="BW199" s="25"/>
      <c r="BX199" s="25"/>
      <c r="BY199" s="25"/>
      <c r="BZ199" s="25"/>
      <c r="CA199" s="25"/>
      <c r="CB199" s="25"/>
      <c r="CC199" s="25"/>
      <c r="CD199" s="25"/>
      <c r="CE199" s="25"/>
      <c r="CF199" s="25"/>
      <c r="CG199" s="25"/>
      <c r="CH199" s="25"/>
      <c r="CI199" s="25"/>
      <c r="CJ199" s="25"/>
      <c r="CK199" s="25"/>
      <c r="CL199" s="25"/>
      <c r="CM199" s="25"/>
      <c r="CN199" s="25"/>
      <c r="CO199" s="25"/>
      <c r="CP199" s="25"/>
      <c r="CQ199" s="25"/>
      <c r="CR199" s="25"/>
      <c r="CS199" s="25"/>
      <c r="CT199" s="25"/>
      <c r="CU199" s="25"/>
      <c r="CV199" s="25"/>
      <c r="CW199" s="25"/>
      <c r="CX199" s="25"/>
      <c r="CY199" s="25"/>
      <c r="CZ199" s="25"/>
      <c r="DA199" s="25"/>
      <c r="DB199" s="25"/>
      <c r="DC199" s="25"/>
      <c r="DD199" s="25"/>
      <c r="DE199" s="25"/>
      <c r="DF199" s="25"/>
      <c r="DG199" s="25"/>
      <c r="DH199" s="25"/>
      <c r="DI199" s="25"/>
      <c r="DJ199" s="25"/>
      <c r="DK199" s="25"/>
      <c r="DL199" s="25"/>
      <c r="DM199" s="25"/>
      <c r="DN199" s="25"/>
      <c r="DO199" s="25"/>
      <c r="DP199" s="25"/>
      <c r="DQ199" s="25"/>
    </row>
    <row r="200" spans="1:121" s="26" customFormat="1" ht="24.95" customHeight="1" x14ac:dyDescent="0.25">
      <c r="A200" s="898">
        <v>230</v>
      </c>
      <c r="B200" s="666">
        <v>3522</v>
      </c>
      <c r="C200" s="667">
        <v>6121</v>
      </c>
      <c r="D200" s="1230">
        <v>6210</v>
      </c>
      <c r="E200" s="915" t="s">
        <v>386</v>
      </c>
      <c r="F200" s="439" t="s">
        <v>127</v>
      </c>
      <c r="G200" s="440">
        <v>400</v>
      </c>
      <c r="H200" s="440">
        <v>2018</v>
      </c>
      <c r="I200" s="441">
        <v>2018</v>
      </c>
      <c r="J200" s="462">
        <f t="shared" si="34"/>
        <v>51270</v>
      </c>
      <c r="K200" s="443">
        <v>944</v>
      </c>
      <c r="L200" s="444">
        <f>22000+8022</f>
        <v>30022</v>
      </c>
      <c r="M200" s="465">
        <f t="shared" si="35"/>
        <v>20304</v>
      </c>
      <c r="N200" s="446">
        <f>26000-8022</f>
        <v>17978</v>
      </c>
      <c r="O200" s="447">
        <v>0</v>
      </c>
      <c r="P200" s="448">
        <v>0</v>
      </c>
      <c r="Q200" s="448">
        <v>2326</v>
      </c>
      <c r="R200" s="449">
        <v>0</v>
      </c>
      <c r="S200" s="448">
        <v>0</v>
      </c>
      <c r="T200" s="443">
        <v>0</v>
      </c>
      <c r="U200" s="449">
        <v>0</v>
      </c>
      <c r="V200" s="448">
        <v>0</v>
      </c>
      <c r="W200" s="443">
        <v>0</v>
      </c>
      <c r="X200" s="449">
        <v>0</v>
      </c>
      <c r="Y200" s="448">
        <v>0</v>
      </c>
      <c r="Z200" s="540">
        <v>0</v>
      </c>
      <c r="AA200" s="493">
        <v>0</v>
      </c>
      <c r="AB200" s="25"/>
      <c r="AC200" s="25"/>
      <c r="AD200" s="25"/>
      <c r="AE200" s="25"/>
      <c r="AF200" s="25"/>
      <c r="AG200" s="25"/>
      <c r="AH200" s="25"/>
      <c r="AI200" s="25"/>
      <c r="AJ200" s="25"/>
      <c r="AK200" s="25"/>
      <c r="AL200" s="25"/>
      <c r="AM200" s="25"/>
      <c r="AN200" s="25"/>
      <c r="AO200" s="25"/>
      <c r="AP200" s="25"/>
      <c r="AQ200" s="25"/>
      <c r="AR200" s="25"/>
      <c r="AS200" s="25"/>
      <c r="AT200" s="25"/>
      <c r="AU200" s="25"/>
      <c r="AV200" s="25"/>
      <c r="AW200" s="25"/>
      <c r="AX200" s="25"/>
      <c r="AY200" s="25"/>
      <c r="AZ200" s="25"/>
      <c r="BA200" s="25"/>
      <c r="BB200" s="25"/>
      <c r="BC200" s="25"/>
      <c r="BD200" s="25"/>
      <c r="BE200" s="25"/>
      <c r="BF200" s="25"/>
      <c r="BG200" s="25"/>
      <c r="BH200" s="25"/>
      <c r="BI200" s="25"/>
      <c r="BJ200" s="25"/>
      <c r="BK200" s="25"/>
      <c r="BL200" s="25"/>
      <c r="BM200" s="25"/>
      <c r="BN200" s="25"/>
      <c r="BO200" s="25"/>
      <c r="BP200" s="25"/>
      <c r="BQ200" s="25"/>
      <c r="BR200" s="25"/>
      <c r="BS200" s="25"/>
      <c r="BT200" s="25"/>
      <c r="BU200" s="25"/>
      <c r="BV200" s="25"/>
      <c r="BW200" s="25"/>
      <c r="BX200" s="25"/>
      <c r="BY200" s="25"/>
      <c r="BZ200" s="25"/>
      <c r="CA200" s="25"/>
      <c r="CB200" s="25"/>
      <c r="CC200" s="25"/>
      <c r="CD200" s="25"/>
      <c r="CE200" s="25"/>
      <c r="CF200" s="25"/>
      <c r="CG200" s="25"/>
      <c r="CH200" s="25"/>
      <c r="CI200" s="25"/>
      <c r="CJ200" s="25"/>
      <c r="CK200" s="25"/>
      <c r="CL200" s="25"/>
      <c r="CM200" s="25"/>
      <c r="CN200" s="25"/>
      <c r="CO200" s="25"/>
      <c r="CP200" s="25"/>
      <c r="CQ200" s="25"/>
      <c r="CR200" s="25"/>
      <c r="CS200" s="25"/>
      <c r="CT200" s="25"/>
      <c r="CU200" s="25"/>
      <c r="CV200" s="25"/>
      <c r="CW200" s="25"/>
      <c r="CX200" s="25"/>
      <c r="CY200" s="25"/>
      <c r="CZ200" s="25"/>
      <c r="DA200" s="25"/>
      <c r="DB200" s="25"/>
      <c r="DC200" s="25"/>
      <c r="DD200" s="25"/>
      <c r="DE200" s="25"/>
      <c r="DF200" s="25"/>
      <c r="DG200" s="25"/>
      <c r="DH200" s="25"/>
      <c r="DI200" s="25"/>
      <c r="DJ200" s="25"/>
      <c r="DK200" s="25"/>
      <c r="DL200" s="25"/>
      <c r="DM200" s="25"/>
      <c r="DN200" s="25"/>
      <c r="DO200" s="25"/>
      <c r="DP200" s="25"/>
      <c r="DQ200" s="25"/>
    </row>
    <row r="201" spans="1:121" s="26" customFormat="1" ht="24.95" customHeight="1" x14ac:dyDescent="0.25">
      <c r="A201" s="898">
        <v>230</v>
      </c>
      <c r="B201" s="666">
        <v>3522</v>
      </c>
      <c r="C201" s="667">
        <v>6121</v>
      </c>
      <c r="D201" s="1230">
        <v>6211</v>
      </c>
      <c r="E201" s="915" t="s">
        <v>385</v>
      </c>
      <c r="F201" s="439" t="s">
        <v>127</v>
      </c>
      <c r="G201" s="440">
        <v>400</v>
      </c>
      <c r="H201" s="440">
        <v>2017</v>
      </c>
      <c r="I201" s="441">
        <v>2018</v>
      </c>
      <c r="J201" s="462">
        <f t="shared" si="34"/>
        <v>20079</v>
      </c>
      <c r="K201" s="443">
        <v>0</v>
      </c>
      <c r="L201" s="444">
        <v>19971</v>
      </c>
      <c r="M201" s="465">
        <f t="shared" si="35"/>
        <v>108</v>
      </c>
      <c r="N201" s="446">
        <v>108</v>
      </c>
      <c r="O201" s="447">
        <v>0</v>
      </c>
      <c r="P201" s="448">
        <v>0</v>
      </c>
      <c r="Q201" s="448">
        <v>0</v>
      </c>
      <c r="R201" s="449">
        <v>0</v>
      </c>
      <c r="S201" s="448">
        <v>0</v>
      </c>
      <c r="T201" s="443">
        <v>0</v>
      </c>
      <c r="U201" s="449">
        <v>0</v>
      </c>
      <c r="V201" s="448">
        <v>0</v>
      </c>
      <c r="W201" s="443">
        <v>0</v>
      </c>
      <c r="X201" s="449">
        <v>0</v>
      </c>
      <c r="Y201" s="448">
        <v>0</v>
      </c>
      <c r="Z201" s="540">
        <v>0</v>
      </c>
      <c r="AA201" s="493">
        <v>0</v>
      </c>
      <c r="AB201" s="25"/>
      <c r="AC201" s="25"/>
      <c r="AD201" s="25"/>
      <c r="AE201" s="25"/>
      <c r="AF201" s="25"/>
      <c r="AG201" s="25"/>
      <c r="AH201" s="25"/>
      <c r="AI201" s="25"/>
      <c r="AJ201" s="25"/>
      <c r="AK201" s="25"/>
      <c r="AL201" s="25"/>
      <c r="AM201" s="25"/>
      <c r="AN201" s="25"/>
      <c r="AO201" s="25"/>
      <c r="AP201" s="25"/>
      <c r="AQ201" s="25"/>
      <c r="AR201" s="25"/>
      <c r="AS201" s="25"/>
      <c r="AT201" s="25"/>
      <c r="AU201" s="25"/>
      <c r="AV201" s="25"/>
      <c r="AW201" s="25"/>
      <c r="AX201" s="25"/>
      <c r="AY201" s="25"/>
      <c r="AZ201" s="25"/>
      <c r="BA201" s="25"/>
      <c r="BB201" s="25"/>
      <c r="BC201" s="25"/>
      <c r="BD201" s="25"/>
      <c r="BE201" s="25"/>
      <c r="BF201" s="25"/>
      <c r="BG201" s="25"/>
      <c r="BH201" s="25"/>
      <c r="BI201" s="25"/>
      <c r="BJ201" s="25"/>
      <c r="BK201" s="25"/>
      <c r="BL201" s="25"/>
      <c r="BM201" s="25"/>
      <c r="BN201" s="25"/>
      <c r="BO201" s="25"/>
      <c r="BP201" s="25"/>
      <c r="BQ201" s="25"/>
      <c r="BR201" s="25"/>
      <c r="BS201" s="25"/>
      <c r="BT201" s="25"/>
      <c r="BU201" s="25"/>
      <c r="BV201" s="25"/>
      <c r="BW201" s="25"/>
      <c r="BX201" s="25"/>
      <c r="BY201" s="25"/>
      <c r="BZ201" s="25"/>
      <c r="CA201" s="25"/>
      <c r="CB201" s="25"/>
      <c r="CC201" s="25"/>
      <c r="CD201" s="25"/>
      <c r="CE201" s="25"/>
      <c r="CF201" s="25"/>
      <c r="CG201" s="25"/>
      <c r="CH201" s="25"/>
      <c r="CI201" s="25"/>
      <c r="CJ201" s="25"/>
      <c r="CK201" s="25"/>
      <c r="CL201" s="25"/>
      <c r="CM201" s="25"/>
      <c r="CN201" s="25"/>
      <c r="CO201" s="25"/>
      <c r="CP201" s="25"/>
      <c r="CQ201" s="25"/>
      <c r="CR201" s="25"/>
      <c r="CS201" s="25"/>
      <c r="CT201" s="25"/>
      <c r="CU201" s="25"/>
      <c r="CV201" s="25"/>
      <c r="CW201" s="25"/>
      <c r="CX201" s="25"/>
      <c r="CY201" s="25"/>
      <c r="CZ201" s="25"/>
      <c r="DA201" s="25"/>
      <c r="DB201" s="25"/>
      <c r="DC201" s="25"/>
      <c r="DD201" s="25"/>
      <c r="DE201" s="25"/>
      <c r="DF201" s="25"/>
      <c r="DG201" s="25"/>
      <c r="DH201" s="25"/>
      <c r="DI201" s="25"/>
      <c r="DJ201" s="25"/>
      <c r="DK201" s="25"/>
      <c r="DL201" s="25"/>
      <c r="DM201" s="25"/>
      <c r="DN201" s="25"/>
      <c r="DO201" s="25"/>
      <c r="DP201" s="25"/>
      <c r="DQ201" s="25"/>
    </row>
    <row r="202" spans="1:121" s="26" customFormat="1" ht="24.95" customHeight="1" x14ac:dyDescent="0.25">
      <c r="A202" s="898">
        <v>230</v>
      </c>
      <c r="B202" s="666">
        <v>3522</v>
      </c>
      <c r="C202" s="667">
        <v>6121</v>
      </c>
      <c r="D202" s="1229">
        <v>6212</v>
      </c>
      <c r="E202" s="603" t="s">
        <v>384</v>
      </c>
      <c r="F202" s="439" t="s">
        <v>127</v>
      </c>
      <c r="G202" s="440">
        <v>400</v>
      </c>
      <c r="H202" s="440">
        <v>2018</v>
      </c>
      <c r="I202" s="441">
        <v>2022</v>
      </c>
      <c r="J202" s="462">
        <f t="shared" si="34"/>
        <v>13194</v>
      </c>
      <c r="K202" s="443">
        <v>0</v>
      </c>
      <c r="L202" s="444">
        <f>1157+1156</f>
        <v>2313</v>
      </c>
      <c r="M202" s="465">
        <f t="shared" si="35"/>
        <v>10881</v>
      </c>
      <c r="N202" s="446">
        <f>4038-1156-1</f>
        <v>2881</v>
      </c>
      <c r="O202" s="447">
        <v>0</v>
      </c>
      <c r="P202" s="448">
        <v>0</v>
      </c>
      <c r="Q202" s="448">
        <v>8000</v>
      </c>
      <c r="R202" s="449">
        <v>0</v>
      </c>
      <c r="S202" s="448">
        <v>0</v>
      </c>
      <c r="T202" s="443">
        <v>0</v>
      </c>
      <c r="U202" s="449">
        <v>0</v>
      </c>
      <c r="V202" s="448">
        <v>0</v>
      </c>
      <c r="W202" s="443">
        <v>0</v>
      </c>
      <c r="X202" s="449">
        <v>0</v>
      </c>
      <c r="Y202" s="448">
        <v>0</v>
      </c>
      <c r="Z202" s="540">
        <v>0</v>
      </c>
      <c r="AA202" s="493">
        <v>0</v>
      </c>
      <c r="AB202" s="25"/>
      <c r="AC202" s="25"/>
      <c r="AD202" s="25"/>
      <c r="AE202" s="25"/>
      <c r="AF202" s="25"/>
      <c r="AG202" s="25"/>
      <c r="AH202" s="25"/>
      <c r="AI202" s="25"/>
      <c r="AJ202" s="25"/>
      <c r="AK202" s="25"/>
      <c r="AL202" s="25"/>
      <c r="AM202" s="25"/>
      <c r="AN202" s="25"/>
      <c r="AO202" s="25"/>
      <c r="AP202" s="25"/>
      <c r="AQ202" s="25"/>
      <c r="AR202" s="25"/>
      <c r="AS202" s="25"/>
      <c r="AT202" s="25"/>
      <c r="AU202" s="25"/>
      <c r="AV202" s="25"/>
      <c r="AW202" s="25"/>
      <c r="AX202" s="25"/>
      <c r="AY202" s="25"/>
      <c r="AZ202" s="25"/>
      <c r="BA202" s="25"/>
      <c r="BB202" s="25"/>
      <c r="BC202" s="25"/>
      <c r="BD202" s="25"/>
      <c r="BE202" s="25"/>
      <c r="BF202" s="25"/>
      <c r="BG202" s="25"/>
      <c r="BH202" s="25"/>
      <c r="BI202" s="25"/>
      <c r="BJ202" s="25"/>
      <c r="BK202" s="25"/>
      <c r="BL202" s="25"/>
      <c r="BM202" s="25"/>
      <c r="BN202" s="25"/>
      <c r="BO202" s="25"/>
      <c r="BP202" s="25"/>
      <c r="BQ202" s="25"/>
      <c r="BR202" s="25"/>
      <c r="BS202" s="25"/>
      <c r="BT202" s="25"/>
      <c r="BU202" s="25"/>
      <c r="BV202" s="25"/>
      <c r="BW202" s="25"/>
      <c r="BX202" s="25"/>
      <c r="BY202" s="25"/>
      <c r="BZ202" s="25"/>
      <c r="CA202" s="25"/>
      <c r="CB202" s="25"/>
      <c r="CC202" s="25"/>
      <c r="CD202" s="25"/>
      <c r="CE202" s="25"/>
      <c r="CF202" s="25"/>
      <c r="CG202" s="25"/>
      <c r="CH202" s="25"/>
      <c r="CI202" s="25"/>
      <c r="CJ202" s="25"/>
      <c r="CK202" s="25"/>
      <c r="CL202" s="25"/>
      <c r="CM202" s="25"/>
      <c r="CN202" s="25"/>
      <c r="CO202" s="25"/>
      <c r="CP202" s="25"/>
      <c r="CQ202" s="25"/>
      <c r="CR202" s="25"/>
      <c r="CS202" s="25"/>
      <c r="CT202" s="25"/>
      <c r="CU202" s="25"/>
      <c r="CV202" s="25"/>
      <c r="CW202" s="25"/>
      <c r="CX202" s="25"/>
      <c r="CY202" s="25"/>
      <c r="CZ202" s="25"/>
      <c r="DA202" s="25"/>
      <c r="DB202" s="25"/>
      <c r="DC202" s="25"/>
      <c r="DD202" s="25"/>
      <c r="DE202" s="25"/>
      <c r="DF202" s="25"/>
      <c r="DG202" s="25"/>
      <c r="DH202" s="25"/>
      <c r="DI202" s="25"/>
      <c r="DJ202" s="25"/>
      <c r="DK202" s="25"/>
      <c r="DL202" s="25"/>
      <c r="DM202" s="25"/>
      <c r="DN202" s="25"/>
      <c r="DO202" s="25"/>
      <c r="DP202" s="25"/>
      <c r="DQ202" s="25"/>
    </row>
    <row r="203" spans="1:121" s="26" customFormat="1" ht="24.95" customHeight="1" x14ac:dyDescent="0.25">
      <c r="A203" s="898">
        <v>230</v>
      </c>
      <c r="B203" s="666">
        <v>3522</v>
      </c>
      <c r="C203" s="667">
        <v>6121</v>
      </c>
      <c r="D203" s="1229">
        <v>6213</v>
      </c>
      <c r="E203" s="603" t="s">
        <v>383</v>
      </c>
      <c r="F203" s="439" t="s">
        <v>127</v>
      </c>
      <c r="G203" s="440">
        <v>400</v>
      </c>
      <c r="H203" s="440">
        <v>2018</v>
      </c>
      <c r="I203" s="441">
        <v>2021</v>
      </c>
      <c r="J203" s="462">
        <f t="shared" si="34"/>
        <v>15800</v>
      </c>
      <c r="K203" s="443">
        <v>0</v>
      </c>
      <c r="L203" s="444">
        <v>800</v>
      </c>
      <c r="M203" s="465">
        <f t="shared" si="35"/>
        <v>800</v>
      </c>
      <c r="N203" s="446">
        <v>0</v>
      </c>
      <c r="O203" s="447">
        <v>0</v>
      </c>
      <c r="P203" s="448">
        <v>0</v>
      </c>
      <c r="Q203" s="448">
        <v>800</v>
      </c>
      <c r="R203" s="449">
        <v>0</v>
      </c>
      <c r="S203" s="448">
        <v>0</v>
      </c>
      <c r="T203" s="443">
        <v>1000</v>
      </c>
      <c r="U203" s="449">
        <v>0</v>
      </c>
      <c r="V203" s="448">
        <v>0</v>
      </c>
      <c r="W203" s="443">
        <v>6600</v>
      </c>
      <c r="X203" s="449">
        <v>0</v>
      </c>
      <c r="Y203" s="448">
        <v>0</v>
      </c>
      <c r="Z203" s="540">
        <v>6600</v>
      </c>
      <c r="AA203" s="493">
        <v>0</v>
      </c>
      <c r="AB203" s="25"/>
      <c r="AC203" s="25"/>
      <c r="AD203" s="25"/>
      <c r="AE203" s="25"/>
      <c r="AF203" s="25"/>
      <c r="AG203" s="25"/>
      <c r="AH203" s="25"/>
      <c r="AI203" s="25"/>
      <c r="AJ203" s="25"/>
      <c r="AK203" s="25"/>
      <c r="AL203" s="25"/>
      <c r="AM203" s="25"/>
      <c r="AN203" s="25"/>
      <c r="AO203" s="25"/>
      <c r="AP203" s="25"/>
      <c r="AQ203" s="25"/>
      <c r="AR203" s="25"/>
      <c r="AS203" s="25"/>
      <c r="AT203" s="25"/>
      <c r="AU203" s="25"/>
      <c r="AV203" s="25"/>
      <c r="AW203" s="25"/>
      <c r="AX203" s="25"/>
      <c r="AY203" s="25"/>
      <c r="AZ203" s="25"/>
      <c r="BA203" s="25"/>
      <c r="BB203" s="25"/>
      <c r="BC203" s="25"/>
      <c r="BD203" s="25"/>
      <c r="BE203" s="25"/>
      <c r="BF203" s="25"/>
      <c r="BG203" s="25"/>
      <c r="BH203" s="25"/>
      <c r="BI203" s="25"/>
      <c r="BJ203" s="25"/>
      <c r="BK203" s="25"/>
      <c r="BL203" s="25"/>
      <c r="BM203" s="25"/>
      <c r="BN203" s="25"/>
      <c r="BO203" s="25"/>
      <c r="BP203" s="25"/>
      <c r="BQ203" s="25"/>
      <c r="BR203" s="25"/>
      <c r="BS203" s="25"/>
      <c r="BT203" s="25"/>
      <c r="BU203" s="25"/>
      <c r="BV203" s="25"/>
      <c r="BW203" s="25"/>
      <c r="BX203" s="25"/>
      <c r="BY203" s="25"/>
      <c r="BZ203" s="25"/>
      <c r="CA203" s="25"/>
      <c r="CB203" s="25"/>
      <c r="CC203" s="25"/>
      <c r="CD203" s="25"/>
      <c r="CE203" s="25"/>
      <c r="CF203" s="25"/>
      <c r="CG203" s="25"/>
      <c r="CH203" s="25"/>
      <c r="CI203" s="25"/>
      <c r="CJ203" s="25"/>
      <c r="CK203" s="25"/>
      <c r="CL203" s="25"/>
      <c r="CM203" s="25"/>
      <c r="CN203" s="25"/>
      <c r="CO203" s="25"/>
      <c r="CP203" s="25"/>
      <c r="CQ203" s="25"/>
      <c r="CR203" s="25"/>
      <c r="CS203" s="25"/>
      <c r="CT203" s="25"/>
      <c r="CU203" s="25"/>
      <c r="CV203" s="25"/>
      <c r="CW203" s="25"/>
      <c r="CX203" s="25"/>
      <c r="CY203" s="25"/>
      <c r="CZ203" s="25"/>
      <c r="DA203" s="25"/>
      <c r="DB203" s="25"/>
      <c r="DC203" s="25"/>
      <c r="DD203" s="25"/>
      <c r="DE203" s="25"/>
      <c r="DF203" s="25"/>
      <c r="DG203" s="25"/>
      <c r="DH203" s="25"/>
      <c r="DI203" s="25"/>
      <c r="DJ203" s="25"/>
      <c r="DK203" s="25"/>
      <c r="DL203" s="25"/>
      <c r="DM203" s="25"/>
      <c r="DN203" s="25"/>
      <c r="DO203" s="25"/>
      <c r="DP203" s="25"/>
      <c r="DQ203" s="25"/>
    </row>
    <row r="204" spans="1:121" s="26" customFormat="1" ht="24.95" customHeight="1" x14ac:dyDescent="0.25">
      <c r="A204" s="898">
        <v>230</v>
      </c>
      <c r="B204" s="666">
        <v>3522</v>
      </c>
      <c r="C204" s="667">
        <v>6121</v>
      </c>
      <c r="D204" s="1229">
        <v>6214</v>
      </c>
      <c r="E204" s="603" t="s">
        <v>382</v>
      </c>
      <c r="F204" s="439" t="s">
        <v>127</v>
      </c>
      <c r="G204" s="440">
        <v>400</v>
      </c>
      <c r="H204" s="440">
        <v>2017</v>
      </c>
      <c r="I204" s="441">
        <v>2022</v>
      </c>
      <c r="J204" s="462">
        <f t="shared" si="34"/>
        <v>15800</v>
      </c>
      <c r="K204" s="443">
        <v>0</v>
      </c>
      <c r="L204" s="444">
        <v>800</v>
      </c>
      <c r="M204" s="465">
        <f t="shared" si="35"/>
        <v>800</v>
      </c>
      <c r="N204" s="446">
        <v>0</v>
      </c>
      <c r="O204" s="447">
        <v>0</v>
      </c>
      <c r="P204" s="448">
        <v>0</v>
      </c>
      <c r="Q204" s="448">
        <v>800</v>
      </c>
      <c r="R204" s="449">
        <v>0</v>
      </c>
      <c r="S204" s="448">
        <v>0</v>
      </c>
      <c r="T204" s="443">
        <v>1000</v>
      </c>
      <c r="U204" s="449">
        <v>0</v>
      </c>
      <c r="V204" s="448">
        <v>0</v>
      </c>
      <c r="W204" s="443">
        <v>6600</v>
      </c>
      <c r="X204" s="449">
        <v>0</v>
      </c>
      <c r="Y204" s="448">
        <v>0</v>
      </c>
      <c r="Z204" s="540">
        <v>6600</v>
      </c>
      <c r="AA204" s="493">
        <v>0</v>
      </c>
      <c r="AB204" s="25"/>
      <c r="AC204" s="25"/>
      <c r="AD204" s="25"/>
      <c r="AE204" s="25"/>
      <c r="AF204" s="25"/>
      <c r="AG204" s="25"/>
      <c r="AH204" s="25"/>
      <c r="AI204" s="25"/>
      <c r="AJ204" s="25"/>
      <c r="AK204" s="25"/>
      <c r="AL204" s="25"/>
      <c r="AM204" s="25"/>
      <c r="AN204" s="25"/>
      <c r="AO204" s="25"/>
      <c r="AP204" s="25"/>
      <c r="AQ204" s="25"/>
      <c r="AR204" s="25"/>
      <c r="AS204" s="25"/>
      <c r="AT204" s="25"/>
      <c r="AU204" s="25"/>
      <c r="AV204" s="25"/>
      <c r="AW204" s="25"/>
      <c r="AX204" s="25"/>
      <c r="AY204" s="25"/>
      <c r="AZ204" s="25"/>
      <c r="BA204" s="25"/>
      <c r="BB204" s="25"/>
      <c r="BC204" s="25"/>
      <c r="BD204" s="25"/>
      <c r="BE204" s="25"/>
      <c r="BF204" s="25"/>
      <c r="BG204" s="25"/>
      <c r="BH204" s="25"/>
      <c r="BI204" s="25"/>
      <c r="BJ204" s="25"/>
      <c r="BK204" s="25"/>
      <c r="BL204" s="25"/>
      <c r="BM204" s="25"/>
      <c r="BN204" s="25"/>
      <c r="BO204" s="25"/>
      <c r="BP204" s="25"/>
      <c r="BQ204" s="25"/>
      <c r="BR204" s="25"/>
      <c r="BS204" s="25"/>
      <c r="BT204" s="25"/>
      <c r="BU204" s="25"/>
      <c r="BV204" s="25"/>
      <c r="BW204" s="25"/>
      <c r="BX204" s="25"/>
      <c r="BY204" s="25"/>
      <c r="BZ204" s="25"/>
      <c r="CA204" s="25"/>
      <c r="CB204" s="25"/>
      <c r="CC204" s="25"/>
      <c r="CD204" s="25"/>
      <c r="CE204" s="25"/>
      <c r="CF204" s="25"/>
      <c r="CG204" s="25"/>
      <c r="CH204" s="25"/>
      <c r="CI204" s="25"/>
      <c r="CJ204" s="25"/>
      <c r="CK204" s="25"/>
      <c r="CL204" s="25"/>
      <c r="CM204" s="25"/>
      <c r="CN204" s="25"/>
      <c r="CO204" s="25"/>
      <c r="CP204" s="25"/>
      <c r="CQ204" s="25"/>
      <c r="CR204" s="25"/>
      <c r="CS204" s="25"/>
      <c r="CT204" s="25"/>
      <c r="CU204" s="25"/>
      <c r="CV204" s="25"/>
      <c r="CW204" s="25"/>
      <c r="CX204" s="25"/>
      <c r="CY204" s="25"/>
      <c r="CZ204" s="25"/>
      <c r="DA204" s="25"/>
      <c r="DB204" s="25"/>
      <c r="DC204" s="25"/>
      <c r="DD204" s="25"/>
      <c r="DE204" s="25"/>
      <c r="DF204" s="25"/>
      <c r="DG204" s="25"/>
      <c r="DH204" s="25"/>
      <c r="DI204" s="25"/>
      <c r="DJ204" s="25"/>
      <c r="DK204" s="25"/>
      <c r="DL204" s="25"/>
      <c r="DM204" s="25"/>
      <c r="DN204" s="25"/>
      <c r="DO204" s="25"/>
      <c r="DP204" s="25"/>
      <c r="DQ204" s="25"/>
    </row>
    <row r="205" spans="1:121" s="26" customFormat="1" ht="24.95" customHeight="1" x14ac:dyDescent="0.25">
      <c r="A205" s="898">
        <v>230</v>
      </c>
      <c r="B205" s="666">
        <v>3522</v>
      </c>
      <c r="C205" s="667">
        <v>6121</v>
      </c>
      <c r="D205" s="1229">
        <v>6218</v>
      </c>
      <c r="E205" s="603" t="s">
        <v>381</v>
      </c>
      <c r="F205" s="439" t="s">
        <v>127</v>
      </c>
      <c r="G205" s="440">
        <v>400</v>
      </c>
      <c r="H205" s="440">
        <v>2018</v>
      </c>
      <c r="I205" s="441">
        <v>2020</v>
      </c>
      <c r="J205" s="462">
        <f t="shared" si="34"/>
        <v>58314</v>
      </c>
      <c r="K205" s="443"/>
      <c r="L205" s="444">
        <v>314</v>
      </c>
      <c r="M205" s="465">
        <f t="shared" si="35"/>
        <v>2000</v>
      </c>
      <c r="N205" s="446">
        <v>0</v>
      </c>
      <c r="O205" s="447">
        <v>0</v>
      </c>
      <c r="P205" s="448">
        <v>0</v>
      </c>
      <c r="Q205" s="448">
        <v>2000</v>
      </c>
      <c r="R205" s="449">
        <v>0</v>
      </c>
      <c r="S205" s="448">
        <v>0</v>
      </c>
      <c r="T205" s="443">
        <v>56000</v>
      </c>
      <c r="U205" s="449">
        <v>0</v>
      </c>
      <c r="V205" s="448">
        <v>0</v>
      </c>
      <c r="W205" s="443">
        <v>0</v>
      </c>
      <c r="X205" s="449">
        <v>0</v>
      </c>
      <c r="Y205" s="448">
        <v>0</v>
      </c>
      <c r="Z205" s="540">
        <v>0</v>
      </c>
      <c r="AA205" s="493">
        <v>0</v>
      </c>
      <c r="AB205" s="25"/>
      <c r="AC205" s="25"/>
      <c r="AD205" s="25"/>
      <c r="AE205" s="25"/>
      <c r="AF205" s="25"/>
      <c r="AG205" s="25"/>
      <c r="AH205" s="25"/>
      <c r="AI205" s="25"/>
      <c r="AJ205" s="25"/>
      <c r="AK205" s="25"/>
      <c r="AL205" s="25"/>
      <c r="AM205" s="25"/>
      <c r="AN205" s="25"/>
      <c r="AO205" s="25"/>
      <c r="AP205" s="25"/>
      <c r="AQ205" s="25"/>
      <c r="AR205" s="25"/>
      <c r="AS205" s="25"/>
      <c r="AT205" s="25"/>
      <c r="AU205" s="25"/>
      <c r="AV205" s="25"/>
      <c r="AW205" s="25"/>
      <c r="AX205" s="25"/>
      <c r="AY205" s="25"/>
      <c r="AZ205" s="25"/>
      <c r="BA205" s="25"/>
      <c r="BB205" s="25"/>
      <c r="BC205" s="25"/>
      <c r="BD205" s="25"/>
      <c r="BE205" s="25"/>
      <c r="BF205" s="25"/>
      <c r="BG205" s="25"/>
      <c r="BH205" s="25"/>
      <c r="BI205" s="25"/>
      <c r="BJ205" s="25"/>
      <c r="BK205" s="25"/>
      <c r="BL205" s="25"/>
      <c r="BM205" s="25"/>
      <c r="BN205" s="25"/>
      <c r="BO205" s="25"/>
      <c r="BP205" s="25"/>
      <c r="BQ205" s="25"/>
      <c r="BR205" s="25"/>
      <c r="BS205" s="25"/>
      <c r="BT205" s="25"/>
      <c r="BU205" s="25"/>
      <c r="BV205" s="25"/>
      <c r="BW205" s="25"/>
      <c r="BX205" s="25"/>
      <c r="BY205" s="25"/>
      <c r="BZ205" s="25"/>
      <c r="CA205" s="25"/>
      <c r="CB205" s="25"/>
      <c r="CC205" s="25"/>
      <c r="CD205" s="25"/>
      <c r="CE205" s="25"/>
      <c r="CF205" s="25"/>
      <c r="CG205" s="25"/>
      <c r="CH205" s="25"/>
      <c r="CI205" s="25"/>
      <c r="CJ205" s="25"/>
      <c r="CK205" s="25"/>
      <c r="CL205" s="25"/>
      <c r="CM205" s="25"/>
      <c r="CN205" s="25"/>
      <c r="CO205" s="25"/>
      <c r="CP205" s="25"/>
      <c r="CQ205" s="25"/>
      <c r="CR205" s="25"/>
      <c r="CS205" s="25"/>
      <c r="CT205" s="25"/>
      <c r="CU205" s="25"/>
      <c r="CV205" s="25"/>
      <c r="CW205" s="25"/>
      <c r="CX205" s="25"/>
      <c r="CY205" s="25"/>
      <c r="CZ205" s="25"/>
      <c r="DA205" s="25"/>
      <c r="DB205" s="25"/>
      <c r="DC205" s="25"/>
      <c r="DD205" s="25"/>
      <c r="DE205" s="25"/>
      <c r="DF205" s="25"/>
      <c r="DG205" s="25"/>
      <c r="DH205" s="25"/>
      <c r="DI205" s="25"/>
      <c r="DJ205" s="25"/>
      <c r="DK205" s="25"/>
      <c r="DL205" s="25"/>
      <c r="DM205" s="25"/>
      <c r="DN205" s="25"/>
      <c r="DO205" s="25"/>
      <c r="DP205" s="25"/>
      <c r="DQ205" s="25"/>
    </row>
    <row r="206" spans="1:121" s="26" customFormat="1" ht="24.95" customHeight="1" x14ac:dyDescent="0.25">
      <c r="A206" s="898">
        <v>230</v>
      </c>
      <c r="B206" s="666">
        <v>3522</v>
      </c>
      <c r="C206" s="667">
        <v>6121</v>
      </c>
      <c r="D206" s="1230">
        <v>6220</v>
      </c>
      <c r="E206" s="915" t="s">
        <v>380</v>
      </c>
      <c r="F206" s="110" t="s">
        <v>127</v>
      </c>
      <c r="G206" s="111">
        <v>400</v>
      </c>
      <c r="H206" s="111">
        <v>2018</v>
      </c>
      <c r="I206" s="112">
        <v>2019</v>
      </c>
      <c r="J206" s="462">
        <f t="shared" si="34"/>
        <v>11000</v>
      </c>
      <c r="K206" s="463">
        <v>0</v>
      </c>
      <c r="L206" s="464">
        <f>6755+120</f>
        <v>6875</v>
      </c>
      <c r="M206" s="465">
        <f t="shared" si="35"/>
        <v>4125</v>
      </c>
      <c r="N206" s="466">
        <v>4125</v>
      </c>
      <c r="O206" s="475">
        <v>0</v>
      </c>
      <c r="P206" s="467">
        <v>0</v>
      </c>
      <c r="Q206" s="467">
        <v>0</v>
      </c>
      <c r="R206" s="469">
        <v>0</v>
      </c>
      <c r="S206" s="467">
        <v>0</v>
      </c>
      <c r="T206" s="463">
        <v>0</v>
      </c>
      <c r="U206" s="469">
        <v>0</v>
      </c>
      <c r="V206" s="467">
        <v>0</v>
      </c>
      <c r="W206" s="463">
        <v>0</v>
      </c>
      <c r="X206" s="469">
        <v>0</v>
      </c>
      <c r="Y206" s="467">
        <v>0</v>
      </c>
      <c r="Z206" s="608">
        <v>0</v>
      </c>
      <c r="AA206" s="478">
        <v>0</v>
      </c>
      <c r="AB206" s="25"/>
      <c r="AC206" s="25"/>
      <c r="AD206" s="25"/>
      <c r="AE206" s="25"/>
      <c r="AF206" s="25"/>
      <c r="AG206" s="25"/>
      <c r="AH206" s="25"/>
      <c r="AI206" s="25"/>
      <c r="AJ206" s="25"/>
      <c r="AK206" s="25"/>
      <c r="AL206" s="25"/>
      <c r="AM206" s="25"/>
      <c r="AN206" s="25"/>
      <c r="AO206" s="25"/>
      <c r="AP206" s="25"/>
      <c r="AQ206" s="25"/>
      <c r="AR206" s="25"/>
      <c r="AS206" s="25"/>
      <c r="AT206" s="25"/>
      <c r="AU206" s="25"/>
      <c r="AV206" s="25"/>
      <c r="AW206" s="25"/>
      <c r="AX206" s="25"/>
      <c r="AY206" s="25"/>
      <c r="AZ206" s="25"/>
      <c r="BA206" s="25"/>
      <c r="BB206" s="25"/>
      <c r="BC206" s="25"/>
      <c r="BD206" s="25"/>
      <c r="BE206" s="25"/>
      <c r="BF206" s="25"/>
      <c r="BG206" s="25"/>
      <c r="BH206" s="25"/>
      <c r="BI206" s="25"/>
      <c r="BJ206" s="25"/>
      <c r="BK206" s="25"/>
      <c r="BL206" s="25"/>
      <c r="BM206" s="25"/>
      <c r="BN206" s="25"/>
      <c r="BO206" s="25"/>
      <c r="BP206" s="25"/>
      <c r="BQ206" s="25"/>
      <c r="BR206" s="25"/>
      <c r="BS206" s="25"/>
      <c r="BT206" s="25"/>
      <c r="BU206" s="25"/>
      <c r="BV206" s="25"/>
      <c r="BW206" s="25"/>
      <c r="BX206" s="25"/>
      <c r="BY206" s="25"/>
      <c r="BZ206" s="25"/>
      <c r="CA206" s="25"/>
      <c r="CB206" s="25"/>
      <c r="CC206" s="25"/>
      <c r="CD206" s="25"/>
      <c r="CE206" s="25"/>
      <c r="CF206" s="25"/>
      <c r="CG206" s="25"/>
      <c r="CH206" s="25"/>
      <c r="CI206" s="25"/>
      <c r="CJ206" s="25"/>
      <c r="CK206" s="25"/>
      <c r="CL206" s="25"/>
      <c r="CM206" s="25"/>
      <c r="CN206" s="25"/>
      <c r="CO206" s="25"/>
      <c r="CP206" s="25"/>
      <c r="CQ206" s="25"/>
      <c r="CR206" s="25"/>
      <c r="CS206" s="25"/>
      <c r="CT206" s="25"/>
      <c r="CU206" s="25"/>
      <c r="CV206" s="25"/>
      <c r="CW206" s="25"/>
      <c r="CX206" s="25"/>
      <c r="CY206" s="25"/>
      <c r="CZ206" s="25"/>
      <c r="DA206" s="25"/>
      <c r="DB206" s="25"/>
      <c r="DC206" s="25"/>
      <c r="DD206" s="25"/>
      <c r="DE206" s="25"/>
      <c r="DF206" s="25"/>
      <c r="DG206" s="25"/>
      <c r="DH206" s="25"/>
      <c r="DI206" s="25"/>
      <c r="DJ206" s="25"/>
      <c r="DK206" s="25"/>
      <c r="DL206" s="25"/>
      <c r="DM206" s="25"/>
      <c r="DN206" s="25"/>
      <c r="DO206" s="25"/>
      <c r="DP206" s="25"/>
      <c r="DQ206" s="25"/>
    </row>
    <row r="207" spans="1:121" s="26" customFormat="1" ht="24.95" customHeight="1" x14ac:dyDescent="0.25">
      <c r="A207" s="898">
        <v>230</v>
      </c>
      <c r="B207" s="666">
        <v>3522</v>
      </c>
      <c r="C207" s="667">
        <v>6121</v>
      </c>
      <c r="D207" s="1229">
        <v>6221</v>
      </c>
      <c r="E207" s="603" t="s">
        <v>379</v>
      </c>
      <c r="F207" s="110" t="s">
        <v>127</v>
      </c>
      <c r="G207" s="111">
        <v>400</v>
      </c>
      <c r="H207" s="111">
        <v>2018</v>
      </c>
      <c r="I207" s="112">
        <v>2022</v>
      </c>
      <c r="J207" s="462">
        <f t="shared" si="34"/>
        <v>30000</v>
      </c>
      <c r="K207" s="463">
        <v>0</v>
      </c>
      <c r="L207" s="464">
        <v>0</v>
      </c>
      <c r="M207" s="465">
        <f t="shared" si="35"/>
        <v>15000</v>
      </c>
      <c r="N207" s="466">
        <v>15000</v>
      </c>
      <c r="O207" s="475">
        <v>0</v>
      </c>
      <c r="P207" s="467">
        <v>0</v>
      </c>
      <c r="Q207" s="467">
        <v>0</v>
      </c>
      <c r="R207" s="469">
        <v>0</v>
      </c>
      <c r="S207" s="467">
        <v>0</v>
      </c>
      <c r="T207" s="463">
        <v>12000</v>
      </c>
      <c r="U207" s="469">
        <v>0</v>
      </c>
      <c r="V207" s="467">
        <v>0</v>
      </c>
      <c r="W207" s="463">
        <v>2000</v>
      </c>
      <c r="X207" s="469">
        <v>0</v>
      </c>
      <c r="Y207" s="467">
        <v>0</v>
      </c>
      <c r="Z207" s="608">
        <v>1000</v>
      </c>
      <c r="AA207" s="478">
        <v>0</v>
      </c>
      <c r="AB207" s="25"/>
      <c r="AC207" s="25"/>
      <c r="AD207" s="25"/>
      <c r="AE207" s="25"/>
      <c r="AF207" s="25"/>
      <c r="AG207" s="25"/>
      <c r="AH207" s="25"/>
      <c r="AI207" s="25"/>
      <c r="AJ207" s="25"/>
      <c r="AK207" s="25"/>
      <c r="AL207" s="25"/>
      <c r="AM207" s="25"/>
      <c r="AN207" s="25"/>
      <c r="AO207" s="25"/>
      <c r="AP207" s="25"/>
      <c r="AQ207" s="25"/>
      <c r="AR207" s="25"/>
      <c r="AS207" s="25"/>
      <c r="AT207" s="25"/>
      <c r="AU207" s="25"/>
      <c r="AV207" s="25"/>
      <c r="AW207" s="25"/>
      <c r="AX207" s="25"/>
      <c r="AY207" s="25"/>
      <c r="AZ207" s="25"/>
      <c r="BA207" s="25"/>
      <c r="BB207" s="25"/>
      <c r="BC207" s="25"/>
      <c r="BD207" s="25"/>
      <c r="BE207" s="25"/>
      <c r="BF207" s="25"/>
      <c r="BG207" s="25"/>
      <c r="BH207" s="25"/>
      <c r="BI207" s="25"/>
      <c r="BJ207" s="25"/>
      <c r="BK207" s="25"/>
      <c r="BL207" s="25"/>
      <c r="BM207" s="25"/>
      <c r="BN207" s="25"/>
      <c r="BO207" s="25"/>
      <c r="BP207" s="25"/>
      <c r="BQ207" s="25"/>
      <c r="BR207" s="25"/>
      <c r="BS207" s="25"/>
      <c r="BT207" s="25"/>
      <c r="BU207" s="25"/>
      <c r="BV207" s="25"/>
      <c r="BW207" s="25"/>
      <c r="BX207" s="25"/>
      <c r="BY207" s="25"/>
      <c r="BZ207" s="25"/>
      <c r="CA207" s="25"/>
      <c r="CB207" s="25"/>
      <c r="CC207" s="25"/>
      <c r="CD207" s="25"/>
      <c r="CE207" s="25"/>
      <c r="CF207" s="25"/>
      <c r="CG207" s="25"/>
      <c r="CH207" s="25"/>
      <c r="CI207" s="25"/>
      <c r="CJ207" s="25"/>
      <c r="CK207" s="25"/>
      <c r="CL207" s="25"/>
      <c r="CM207" s="25"/>
      <c r="CN207" s="25"/>
      <c r="CO207" s="25"/>
      <c r="CP207" s="25"/>
      <c r="CQ207" s="25"/>
      <c r="CR207" s="25"/>
      <c r="CS207" s="25"/>
      <c r="CT207" s="25"/>
      <c r="CU207" s="25"/>
      <c r="CV207" s="25"/>
      <c r="CW207" s="25"/>
      <c r="CX207" s="25"/>
      <c r="CY207" s="25"/>
      <c r="CZ207" s="25"/>
      <c r="DA207" s="25"/>
      <c r="DB207" s="25"/>
      <c r="DC207" s="25"/>
      <c r="DD207" s="25"/>
      <c r="DE207" s="25"/>
      <c r="DF207" s="25"/>
      <c r="DG207" s="25"/>
      <c r="DH207" s="25"/>
      <c r="DI207" s="25"/>
      <c r="DJ207" s="25"/>
      <c r="DK207" s="25"/>
      <c r="DL207" s="25"/>
      <c r="DM207" s="25"/>
      <c r="DN207" s="25"/>
      <c r="DO207" s="25"/>
      <c r="DP207" s="25"/>
      <c r="DQ207" s="25"/>
    </row>
    <row r="208" spans="1:121" s="558" customFormat="1" ht="24.95" customHeight="1" x14ac:dyDescent="0.25">
      <c r="A208" s="898">
        <v>230</v>
      </c>
      <c r="B208" s="727">
        <v>3522</v>
      </c>
      <c r="C208" s="728">
        <v>6121</v>
      </c>
      <c r="D208" s="1247">
        <v>6223</v>
      </c>
      <c r="E208" s="966" t="s">
        <v>378</v>
      </c>
      <c r="F208" s="110" t="s">
        <v>127</v>
      </c>
      <c r="G208" s="111">
        <v>400</v>
      </c>
      <c r="H208" s="111">
        <v>2019</v>
      </c>
      <c r="I208" s="112">
        <v>2020</v>
      </c>
      <c r="J208" s="462">
        <f t="shared" si="34"/>
        <v>7000</v>
      </c>
      <c r="K208" s="463">
        <v>0</v>
      </c>
      <c r="L208" s="464">
        <v>0</v>
      </c>
      <c r="M208" s="465">
        <f t="shared" si="35"/>
        <v>5000</v>
      </c>
      <c r="N208" s="466">
        <v>0</v>
      </c>
      <c r="O208" s="475">
        <v>0</v>
      </c>
      <c r="P208" s="467">
        <v>0</v>
      </c>
      <c r="Q208" s="467">
        <v>5000</v>
      </c>
      <c r="R208" s="469">
        <v>0</v>
      </c>
      <c r="S208" s="467">
        <v>0</v>
      </c>
      <c r="T208" s="463">
        <v>2000</v>
      </c>
      <c r="U208" s="469">
        <v>0</v>
      </c>
      <c r="V208" s="467">
        <v>0</v>
      </c>
      <c r="W208" s="463">
        <v>0</v>
      </c>
      <c r="X208" s="469">
        <v>0</v>
      </c>
      <c r="Y208" s="467">
        <v>0</v>
      </c>
      <c r="Z208" s="608">
        <v>0</v>
      </c>
      <c r="AA208" s="478">
        <v>0</v>
      </c>
      <c r="AB208" s="25"/>
      <c r="AC208" s="25"/>
      <c r="AD208" s="25"/>
      <c r="AE208" s="25"/>
      <c r="AF208" s="25"/>
      <c r="AG208" s="25"/>
      <c r="AH208" s="25"/>
      <c r="AI208" s="25"/>
      <c r="AJ208" s="25"/>
      <c r="AK208" s="25"/>
      <c r="AL208" s="25"/>
      <c r="AM208" s="25"/>
      <c r="AN208" s="25"/>
      <c r="AO208" s="25"/>
      <c r="AP208" s="25"/>
      <c r="AQ208" s="25"/>
      <c r="AR208" s="25"/>
      <c r="AS208" s="25"/>
      <c r="AT208" s="25"/>
      <c r="AU208" s="25"/>
      <c r="AV208" s="25"/>
      <c r="AW208" s="25"/>
      <c r="AX208" s="25"/>
      <c r="AY208" s="25"/>
      <c r="AZ208" s="25"/>
      <c r="BA208" s="25"/>
      <c r="BB208" s="25"/>
      <c r="BC208" s="25"/>
      <c r="BD208" s="25"/>
      <c r="BE208" s="25"/>
      <c r="BF208" s="25"/>
      <c r="BG208" s="25"/>
      <c r="BH208" s="25"/>
      <c r="BI208" s="25"/>
      <c r="BJ208" s="25"/>
      <c r="BK208" s="25"/>
      <c r="BL208" s="25"/>
      <c r="BM208" s="25"/>
      <c r="BN208" s="25"/>
      <c r="BO208" s="25"/>
      <c r="BP208" s="25"/>
      <c r="BQ208" s="25"/>
      <c r="BR208" s="25"/>
      <c r="BS208" s="25"/>
      <c r="BT208" s="25"/>
      <c r="BU208" s="25"/>
      <c r="BV208" s="25"/>
      <c r="BW208" s="25"/>
      <c r="BX208" s="25"/>
      <c r="BY208" s="25"/>
      <c r="BZ208" s="25"/>
      <c r="CA208" s="25"/>
      <c r="CB208" s="25"/>
      <c r="CC208" s="25"/>
      <c r="CD208" s="25"/>
      <c r="CE208" s="25"/>
      <c r="CF208" s="25"/>
      <c r="CG208" s="25"/>
      <c r="CH208" s="25"/>
      <c r="CI208" s="25"/>
      <c r="CJ208" s="25"/>
      <c r="CK208" s="25"/>
      <c r="CL208" s="25"/>
      <c r="CM208" s="25"/>
      <c r="CN208" s="25"/>
      <c r="CO208" s="25"/>
      <c r="CP208" s="25"/>
      <c r="CQ208" s="25"/>
      <c r="CR208" s="25"/>
      <c r="CS208" s="25"/>
      <c r="CT208" s="25"/>
      <c r="CU208" s="25"/>
      <c r="CV208" s="25"/>
      <c r="CW208" s="25"/>
      <c r="CX208" s="25"/>
      <c r="CY208" s="25"/>
      <c r="CZ208" s="25"/>
      <c r="DA208" s="25"/>
      <c r="DB208" s="25"/>
      <c r="DC208" s="25"/>
      <c r="DD208" s="25"/>
      <c r="DE208" s="25"/>
      <c r="DF208" s="25"/>
      <c r="DG208" s="25"/>
      <c r="DH208" s="25"/>
      <c r="DI208" s="25"/>
      <c r="DJ208" s="25"/>
      <c r="DK208" s="25"/>
      <c r="DL208" s="25"/>
      <c r="DM208" s="25"/>
      <c r="DN208" s="25"/>
      <c r="DO208" s="25"/>
      <c r="DP208" s="25"/>
      <c r="DQ208" s="25"/>
    </row>
    <row r="209" spans="1:121" s="202" customFormat="1" ht="24.95" customHeight="1" x14ac:dyDescent="0.25">
      <c r="A209" s="600">
        <v>230</v>
      </c>
      <c r="B209" s="907">
        <v>3524</v>
      </c>
      <c r="C209" s="906">
        <v>6121</v>
      </c>
      <c r="D209" s="1243">
        <v>6215</v>
      </c>
      <c r="E209" s="912" t="s">
        <v>377</v>
      </c>
      <c r="F209" s="439" t="s">
        <v>142</v>
      </c>
      <c r="G209" s="440">
        <v>400</v>
      </c>
      <c r="H209" s="440">
        <v>2018</v>
      </c>
      <c r="I209" s="441">
        <v>2021</v>
      </c>
      <c r="J209" s="442">
        <f t="shared" si="34"/>
        <v>13106</v>
      </c>
      <c r="K209" s="443">
        <v>107</v>
      </c>
      <c r="L209" s="444">
        <v>107</v>
      </c>
      <c r="M209" s="445">
        <f t="shared" si="35"/>
        <v>10892</v>
      </c>
      <c r="N209" s="446">
        <v>10892</v>
      </c>
      <c r="O209" s="447">
        <v>0</v>
      </c>
      <c r="P209" s="448">
        <v>0</v>
      </c>
      <c r="Q209" s="444">
        <v>0</v>
      </c>
      <c r="R209" s="449">
        <v>0</v>
      </c>
      <c r="S209" s="448">
        <v>0</v>
      </c>
      <c r="T209" s="444">
        <v>1500</v>
      </c>
      <c r="U209" s="449">
        <v>0</v>
      </c>
      <c r="V209" s="448">
        <v>0</v>
      </c>
      <c r="W209" s="444">
        <v>500</v>
      </c>
      <c r="X209" s="449">
        <v>0</v>
      </c>
      <c r="Y209" s="448">
        <v>0</v>
      </c>
      <c r="Z209" s="492">
        <v>0</v>
      </c>
      <c r="AA209" s="493">
        <v>0</v>
      </c>
      <c r="AB209" s="25"/>
      <c r="AC209" s="25"/>
      <c r="AD209" s="25"/>
      <c r="AE209" s="25"/>
      <c r="AF209" s="25"/>
      <c r="AG209" s="25"/>
      <c r="AH209" s="25"/>
      <c r="AI209" s="25"/>
      <c r="AJ209" s="25"/>
      <c r="AK209" s="25"/>
      <c r="AL209" s="25"/>
      <c r="AM209" s="25"/>
      <c r="AN209" s="25"/>
      <c r="AO209" s="25"/>
      <c r="AP209" s="25"/>
      <c r="AQ209" s="25"/>
      <c r="AR209" s="25"/>
      <c r="AS209" s="25"/>
      <c r="AT209" s="25"/>
      <c r="AU209" s="25"/>
      <c r="AV209" s="25"/>
      <c r="AW209" s="25"/>
      <c r="AX209" s="25"/>
      <c r="AY209" s="25"/>
      <c r="AZ209" s="25"/>
      <c r="BA209" s="25"/>
      <c r="BB209" s="25"/>
      <c r="BC209" s="25"/>
      <c r="BD209" s="25"/>
      <c r="BE209" s="25"/>
      <c r="BF209" s="25"/>
      <c r="BG209" s="25"/>
      <c r="BH209" s="25"/>
      <c r="BI209" s="25"/>
      <c r="BJ209" s="25"/>
      <c r="BK209" s="25"/>
      <c r="BL209" s="25"/>
      <c r="BM209" s="25"/>
      <c r="BN209" s="25"/>
      <c r="BO209" s="25"/>
      <c r="BP209" s="25"/>
      <c r="BQ209" s="25"/>
      <c r="BR209" s="25"/>
      <c r="BS209" s="25"/>
      <c r="BT209" s="25"/>
      <c r="BU209" s="25"/>
      <c r="BV209" s="25"/>
      <c r="BW209" s="25"/>
      <c r="BX209" s="25"/>
      <c r="BY209" s="25"/>
      <c r="BZ209" s="25"/>
      <c r="CA209" s="25"/>
      <c r="CB209" s="25"/>
      <c r="CC209" s="25"/>
      <c r="CD209" s="25"/>
      <c r="CE209" s="25"/>
      <c r="CF209" s="25"/>
      <c r="CG209" s="25"/>
      <c r="CH209" s="25"/>
      <c r="CI209" s="25"/>
      <c r="CJ209" s="25"/>
      <c r="CK209" s="25"/>
      <c r="CL209" s="25"/>
      <c r="CM209" s="25"/>
      <c r="CN209" s="25"/>
      <c r="CO209" s="25"/>
      <c r="CP209" s="25"/>
      <c r="CQ209" s="25"/>
      <c r="CR209" s="25"/>
      <c r="CS209" s="25"/>
      <c r="CT209" s="25"/>
      <c r="CU209" s="25"/>
      <c r="CV209" s="25"/>
      <c r="CW209" s="25"/>
      <c r="CX209" s="25"/>
      <c r="CY209" s="25"/>
      <c r="CZ209" s="25"/>
      <c r="DA209" s="25"/>
      <c r="DB209" s="25"/>
      <c r="DC209" s="25"/>
      <c r="DD209" s="25"/>
      <c r="DE209" s="25"/>
      <c r="DF209" s="25"/>
      <c r="DG209" s="25"/>
      <c r="DH209" s="25"/>
      <c r="DI209" s="25"/>
      <c r="DJ209" s="25"/>
      <c r="DK209" s="25"/>
      <c r="DL209" s="25"/>
      <c r="DM209" s="25"/>
      <c r="DN209" s="25"/>
      <c r="DO209" s="25"/>
      <c r="DP209" s="25"/>
      <c r="DQ209" s="25"/>
    </row>
    <row r="210" spans="1:121" s="558" customFormat="1" ht="24.95" customHeight="1" x14ac:dyDescent="0.25">
      <c r="A210" s="924">
        <v>230</v>
      </c>
      <c r="B210" s="727">
        <v>3524</v>
      </c>
      <c r="C210" s="728">
        <v>6121</v>
      </c>
      <c r="D210" s="1231">
        <v>6219</v>
      </c>
      <c r="E210" s="1248" t="s">
        <v>376</v>
      </c>
      <c r="F210" s="439" t="s">
        <v>142</v>
      </c>
      <c r="G210" s="440">
        <v>400</v>
      </c>
      <c r="H210" s="440">
        <v>2016</v>
      </c>
      <c r="I210" s="441">
        <v>2019</v>
      </c>
      <c r="J210" s="442">
        <f t="shared" si="34"/>
        <v>79845</v>
      </c>
      <c r="K210" s="443">
        <v>0</v>
      </c>
      <c r="L210" s="444">
        <v>845</v>
      </c>
      <c r="M210" s="445">
        <f t="shared" si="35"/>
        <v>61500</v>
      </c>
      <c r="N210" s="446">
        <v>61500</v>
      </c>
      <c r="O210" s="447">
        <v>0</v>
      </c>
      <c r="P210" s="448">
        <v>0</v>
      </c>
      <c r="Q210" s="444">
        <v>0</v>
      </c>
      <c r="R210" s="449">
        <v>0</v>
      </c>
      <c r="S210" s="448">
        <v>0</v>
      </c>
      <c r="T210" s="444">
        <v>17500</v>
      </c>
      <c r="U210" s="449">
        <v>0</v>
      </c>
      <c r="V210" s="448">
        <v>0</v>
      </c>
      <c r="W210" s="444">
        <v>0</v>
      </c>
      <c r="X210" s="449">
        <v>0</v>
      </c>
      <c r="Y210" s="448">
        <v>0</v>
      </c>
      <c r="Z210" s="492">
        <v>0</v>
      </c>
      <c r="AA210" s="493">
        <v>0</v>
      </c>
      <c r="AB210" s="30"/>
      <c r="AC210" s="30"/>
      <c r="AD210" s="30"/>
      <c r="AE210" s="30"/>
      <c r="AF210" s="25"/>
      <c r="AG210" s="25"/>
      <c r="AH210" s="25"/>
      <c r="AI210" s="25"/>
      <c r="AJ210" s="25"/>
      <c r="AK210" s="25"/>
      <c r="AL210" s="25"/>
      <c r="AM210" s="25"/>
      <c r="AN210" s="25"/>
      <c r="AO210" s="25"/>
      <c r="AP210" s="25"/>
      <c r="AQ210" s="25"/>
      <c r="AR210" s="25"/>
      <c r="AS210" s="25"/>
      <c r="AT210" s="25"/>
      <c r="AU210" s="25"/>
      <c r="AV210" s="25"/>
      <c r="AW210" s="25"/>
      <c r="AX210" s="25"/>
      <c r="AY210" s="25"/>
      <c r="AZ210" s="25"/>
      <c r="BA210" s="25"/>
      <c r="BB210" s="25"/>
      <c r="BC210" s="25"/>
      <c r="BD210" s="25"/>
      <c r="BE210" s="25"/>
      <c r="BF210" s="25"/>
      <c r="BG210" s="25"/>
      <c r="BH210" s="25"/>
      <c r="BI210" s="25"/>
      <c r="BJ210" s="25"/>
      <c r="BK210" s="25"/>
      <c r="BL210" s="25"/>
      <c r="BM210" s="25"/>
      <c r="BN210" s="25"/>
      <c r="BO210" s="25"/>
      <c r="BP210" s="25"/>
      <c r="BQ210" s="25"/>
      <c r="BR210" s="25"/>
      <c r="BS210" s="25"/>
      <c r="BT210" s="25"/>
      <c r="BU210" s="25"/>
      <c r="BV210" s="25"/>
      <c r="BW210" s="25"/>
      <c r="BX210" s="25"/>
      <c r="BY210" s="25"/>
      <c r="BZ210" s="25"/>
      <c r="CA210" s="25"/>
      <c r="CB210" s="25"/>
      <c r="CC210" s="25"/>
      <c r="CD210" s="25"/>
      <c r="CE210" s="25"/>
      <c r="CF210" s="25"/>
      <c r="CG210" s="25"/>
      <c r="CH210" s="25"/>
      <c r="CI210" s="25"/>
      <c r="CJ210" s="25"/>
      <c r="CK210" s="25"/>
      <c r="CL210" s="25"/>
      <c r="CM210" s="25"/>
      <c r="CN210" s="25"/>
      <c r="CO210" s="25"/>
      <c r="CP210" s="25"/>
      <c r="CQ210" s="25"/>
      <c r="CR210" s="25"/>
      <c r="CS210" s="25"/>
      <c r="CT210" s="25"/>
      <c r="CU210" s="25"/>
      <c r="CV210" s="25"/>
      <c r="CW210" s="25"/>
      <c r="CX210" s="25"/>
      <c r="CY210" s="25"/>
      <c r="CZ210" s="25"/>
      <c r="DA210" s="25"/>
      <c r="DB210" s="25"/>
      <c r="DC210" s="25"/>
      <c r="DD210" s="25"/>
      <c r="DE210" s="25"/>
      <c r="DF210" s="25"/>
      <c r="DG210" s="25"/>
      <c r="DH210" s="25"/>
      <c r="DI210" s="25"/>
      <c r="DJ210" s="25"/>
      <c r="DK210" s="25"/>
      <c r="DL210" s="25"/>
      <c r="DM210" s="25"/>
      <c r="DN210" s="25"/>
      <c r="DO210" s="25"/>
      <c r="DP210" s="25"/>
      <c r="DQ210" s="25"/>
    </row>
    <row r="211" spans="1:121" s="202" customFormat="1" ht="24.95" customHeight="1" x14ac:dyDescent="0.25">
      <c r="A211" s="980">
        <v>230</v>
      </c>
      <c r="B211" s="907">
        <v>3529</v>
      </c>
      <c r="C211" s="906">
        <v>6121</v>
      </c>
      <c r="D211" s="988">
        <v>6043</v>
      </c>
      <c r="E211" s="910" t="s">
        <v>375</v>
      </c>
      <c r="F211" s="439" t="s">
        <v>201</v>
      </c>
      <c r="G211" s="440">
        <v>400</v>
      </c>
      <c r="H211" s="440">
        <v>2012</v>
      </c>
      <c r="I211" s="441">
        <v>2019</v>
      </c>
      <c r="J211" s="442">
        <f t="shared" si="34"/>
        <v>2907</v>
      </c>
      <c r="K211" s="443">
        <v>1907</v>
      </c>
      <c r="L211" s="444">
        <v>0</v>
      </c>
      <c r="M211" s="445">
        <f t="shared" si="35"/>
        <v>0</v>
      </c>
      <c r="N211" s="446">
        <v>0</v>
      </c>
      <c r="O211" s="447">
        <f>1000-1000</f>
        <v>0</v>
      </c>
      <c r="P211" s="448">
        <v>0</v>
      </c>
      <c r="Q211" s="444">
        <v>0</v>
      </c>
      <c r="R211" s="449">
        <v>1000</v>
      </c>
      <c r="S211" s="448">
        <v>0</v>
      </c>
      <c r="T211" s="444">
        <v>0</v>
      </c>
      <c r="U211" s="449">
        <v>0</v>
      </c>
      <c r="V211" s="448">
        <v>0</v>
      </c>
      <c r="W211" s="444">
        <v>0</v>
      </c>
      <c r="X211" s="449">
        <v>0</v>
      </c>
      <c r="Y211" s="448">
        <v>0</v>
      </c>
      <c r="Z211" s="492">
        <v>0</v>
      </c>
      <c r="AA211" s="493">
        <v>0</v>
      </c>
      <c r="AB211" s="981"/>
      <c r="AC211" s="981"/>
      <c r="AD211" s="981"/>
      <c r="AE211" s="30"/>
      <c r="AF211" s="25"/>
      <c r="AG211" s="25"/>
      <c r="AH211" s="25"/>
      <c r="AI211" s="25"/>
      <c r="AJ211" s="25"/>
      <c r="AK211" s="25"/>
      <c r="AL211" s="25"/>
      <c r="AM211" s="25"/>
      <c r="AN211" s="25"/>
      <c r="AO211" s="25"/>
      <c r="AP211" s="25"/>
      <c r="AQ211" s="25"/>
      <c r="AR211" s="25"/>
      <c r="AS211" s="25"/>
      <c r="AT211" s="25"/>
      <c r="AU211" s="25"/>
      <c r="AV211" s="25"/>
      <c r="AW211" s="25"/>
      <c r="AX211" s="25"/>
      <c r="AY211" s="25"/>
      <c r="AZ211" s="25"/>
      <c r="BA211" s="25"/>
      <c r="BB211" s="25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5"/>
      <c r="BT211" s="25"/>
      <c r="BU211" s="25"/>
      <c r="BV211" s="25"/>
      <c r="BW211" s="25"/>
      <c r="BX211" s="25"/>
      <c r="BY211" s="25"/>
      <c r="BZ211" s="25"/>
      <c r="CA211" s="25"/>
      <c r="CB211" s="25"/>
      <c r="CC211" s="25"/>
      <c r="CD211" s="25"/>
      <c r="CE211" s="25"/>
      <c r="CF211" s="25"/>
      <c r="CG211" s="25"/>
      <c r="CH211" s="25"/>
      <c r="CI211" s="25"/>
      <c r="CJ211" s="25"/>
      <c r="CK211" s="25"/>
      <c r="CL211" s="25"/>
      <c r="CM211" s="25"/>
      <c r="CN211" s="25"/>
      <c r="CO211" s="25"/>
      <c r="CP211" s="25"/>
      <c r="CQ211" s="25"/>
      <c r="CR211" s="25"/>
      <c r="CS211" s="25"/>
      <c r="CT211" s="25"/>
      <c r="CU211" s="25"/>
      <c r="CV211" s="25"/>
      <c r="CW211" s="25"/>
      <c r="CX211" s="25"/>
      <c r="CY211" s="25"/>
      <c r="CZ211" s="25"/>
      <c r="DA211" s="25"/>
      <c r="DB211" s="25"/>
      <c r="DC211" s="25"/>
      <c r="DD211" s="25"/>
      <c r="DE211" s="25"/>
      <c r="DF211" s="25"/>
      <c r="DG211" s="25"/>
      <c r="DH211" s="25"/>
      <c r="DI211" s="25"/>
      <c r="DJ211" s="25"/>
      <c r="DK211" s="25"/>
      <c r="DL211" s="25"/>
      <c r="DM211" s="25"/>
      <c r="DN211" s="25"/>
      <c r="DO211" s="25"/>
      <c r="DP211" s="25"/>
      <c r="DQ211" s="25"/>
    </row>
    <row r="212" spans="1:121" s="558" customFormat="1" ht="24.95" customHeight="1" x14ac:dyDescent="0.25">
      <c r="A212" s="924">
        <v>230</v>
      </c>
      <c r="B212" s="727">
        <v>3529</v>
      </c>
      <c r="C212" s="728">
        <v>6121</v>
      </c>
      <c r="D212" s="1247">
        <v>6048</v>
      </c>
      <c r="E212" s="668" t="s">
        <v>374</v>
      </c>
      <c r="F212" s="110" t="s">
        <v>201</v>
      </c>
      <c r="G212" s="111">
        <v>400</v>
      </c>
      <c r="H212" s="111">
        <v>2016</v>
      </c>
      <c r="I212" s="112">
        <v>2020</v>
      </c>
      <c r="J212" s="462">
        <f t="shared" si="34"/>
        <v>4984</v>
      </c>
      <c r="K212" s="463">
        <v>284</v>
      </c>
      <c r="L212" s="464">
        <v>0</v>
      </c>
      <c r="M212" s="465">
        <f t="shared" si="35"/>
        <v>2700</v>
      </c>
      <c r="N212" s="466">
        <f>1000+1700</f>
        <v>2700</v>
      </c>
      <c r="O212" s="475">
        <v>0</v>
      </c>
      <c r="P212" s="467">
        <v>0</v>
      </c>
      <c r="Q212" s="464">
        <v>0</v>
      </c>
      <c r="R212" s="469">
        <v>2000</v>
      </c>
      <c r="S212" s="467">
        <v>0</v>
      </c>
      <c r="T212" s="464">
        <v>0</v>
      </c>
      <c r="U212" s="469">
        <v>0</v>
      </c>
      <c r="V212" s="467">
        <v>0</v>
      </c>
      <c r="W212" s="464">
        <v>0</v>
      </c>
      <c r="X212" s="469">
        <v>0</v>
      </c>
      <c r="Y212" s="467">
        <v>0</v>
      </c>
      <c r="Z212" s="468">
        <v>0</v>
      </c>
      <c r="AA212" s="478">
        <v>0</v>
      </c>
      <c r="AB212" s="981"/>
      <c r="AC212" s="981"/>
      <c r="AD212" s="981"/>
      <c r="AE212" s="30"/>
      <c r="AF212" s="25"/>
      <c r="AG212" s="25"/>
      <c r="AH212" s="25"/>
      <c r="AI212" s="25"/>
      <c r="AJ212" s="25"/>
      <c r="AK212" s="25"/>
      <c r="AL212" s="25"/>
      <c r="AM212" s="25"/>
      <c r="AN212" s="25"/>
      <c r="AO212" s="25"/>
      <c r="AP212" s="25"/>
      <c r="AQ212" s="25"/>
      <c r="AR212" s="25"/>
      <c r="AS212" s="25"/>
      <c r="AT212" s="25"/>
      <c r="AU212" s="25"/>
      <c r="AV212" s="25"/>
      <c r="AW212" s="25"/>
      <c r="AX212" s="25"/>
      <c r="AY212" s="25"/>
      <c r="AZ212" s="25"/>
      <c r="BA212" s="25"/>
      <c r="BB212" s="25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5"/>
      <c r="BT212" s="25"/>
      <c r="BU212" s="25"/>
      <c r="BV212" s="25"/>
      <c r="BW212" s="25"/>
      <c r="BX212" s="25"/>
      <c r="BY212" s="25"/>
      <c r="BZ212" s="25"/>
      <c r="CA212" s="25"/>
      <c r="CB212" s="25"/>
      <c r="CC212" s="25"/>
      <c r="CD212" s="25"/>
      <c r="CE212" s="25"/>
      <c r="CF212" s="25"/>
      <c r="CG212" s="25"/>
      <c r="CH212" s="25"/>
      <c r="CI212" s="25"/>
      <c r="CJ212" s="25"/>
      <c r="CK212" s="25"/>
      <c r="CL212" s="25"/>
      <c r="CM212" s="25"/>
      <c r="CN212" s="25"/>
      <c r="CO212" s="25"/>
      <c r="CP212" s="25"/>
      <c r="CQ212" s="25"/>
      <c r="CR212" s="25"/>
      <c r="CS212" s="25"/>
      <c r="CT212" s="25"/>
      <c r="CU212" s="25"/>
      <c r="CV212" s="25"/>
      <c r="CW212" s="25"/>
      <c r="CX212" s="25"/>
      <c r="CY212" s="25"/>
      <c r="CZ212" s="25"/>
      <c r="DA212" s="25"/>
      <c r="DB212" s="25"/>
      <c r="DC212" s="25"/>
      <c r="DD212" s="25"/>
      <c r="DE212" s="25"/>
      <c r="DF212" s="25"/>
      <c r="DG212" s="25"/>
      <c r="DH212" s="25"/>
      <c r="DI212" s="25"/>
      <c r="DJ212" s="25"/>
      <c r="DK212" s="25"/>
      <c r="DL212" s="25"/>
      <c r="DM212" s="25"/>
      <c r="DN212" s="25"/>
      <c r="DO212" s="25"/>
      <c r="DP212" s="25"/>
      <c r="DQ212" s="25"/>
    </row>
    <row r="213" spans="1:121" s="125" customFormat="1" ht="24.95" customHeight="1" x14ac:dyDescent="0.25">
      <c r="A213" s="980">
        <v>230</v>
      </c>
      <c r="B213" s="907">
        <v>3612</v>
      </c>
      <c r="C213" s="906">
        <v>6121</v>
      </c>
      <c r="D213" s="1243">
        <v>2010</v>
      </c>
      <c r="E213" s="912" t="s">
        <v>373</v>
      </c>
      <c r="F213" s="765" t="s">
        <v>127</v>
      </c>
      <c r="G213" s="440">
        <v>400</v>
      </c>
      <c r="H213" s="440">
        <v>2016</v>
      </c>
      <c r="I213" s="441">
        <v>2019</v>
      </c>
      <c r="J213" s="442">
        <f t="shared" si="34"/>
        <v>30995</v>
      </c>
      <c r="K213" s="443">
        <v>894</v>
      </c>
      <c r="L213" s="444">
        <v>2855</v>
      </c>
      <c r="M213" s="445">
        <f t="shared" si="35"/>
        <v>27246</v>
      </c>
      <c r="N213" s="446">
        <v>9657</v>
      </c>
      <c r="O213" s="447">
        <v>17589</v>
      </c>
      <c r="P213" s="448">
        <v>0</v>
      </c>
      <c r="Q213" s="444">
        <v>0</v>
      </c>
      <c r="R213" s="449">
        <v>0</v>
      </c>
      <c r="S213" s="448">
        <v>0</v>
      </c>
      <c r="T213" s="444">
        <v>0</v>
      </c>
      <c r="U213" s="449">
        <v>0</v>
      </c>
      <c r="V213" s="448">
        <v>0</v>
      </c>
      <c r="W213" s="444">
        <v>0</v>
      </c>
      <c r="X213" s="449">
        <v>0</v>
      </c>
      <c r="Y213" s="448">
        <v>0</v>
      </c>
      <c r="Z213" s="492">
        <v>0</v>
      </c>
      <c r="AA213" s="493">
        <v>0</v>
      </c>
      <c r="AB213" s="25"/>
      <c r="AC213" s="25"/>
      <c r="AD213" s="25"/>
      <c r="AE213" s="25"/>
      <c r="AF213" s="25"/>
      <c r="AG213" s="25"/>
      <c r="AH213" s="25"/>
      <c r="AI213" s="25"/>
      <c r="AJ213" s="25"/>
      <c r="AK213" s="25"/>
      <c r="AL213" s="25"/>
      <c r="AM213" s="25"/>
      <c r="AN213" s="25"/>
      <c r="AO213" s="25"/>
      <c r="AP213" s="25"/>
      <c r="AQ213" s="25"/>
      <c r="AR213" s="25"/>
      <c r="AS213" s="25"/>
      <c r="AT213" s="25"/>
      <c r="AU213" s="25"/>
      <c r="AV213" s="25"/>
      <c r="AW213" s="25"/>
      <c r="AX213" s="25"/>
      <c r="AY213" s="25"/>
      <c r="AZ213" s="25"/>
      <c r="BA213" s="25"/>
      <c r="BB213" s="25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5"/>
      <c r="BT213" s="25"/>
      <c r="BU213" s="25"/>
      <c r="BV213" s="25"/>
      <c r="BW213" s="25"/>
      <c r="BX213" s="25"/>
      <c r="BY213" s="25"/>
      <c r="BZ213" s="25"/>
      <c r="CA213" s="25"/>
      <c r="CB213" s="25"/>
      <c r="CC213" s="25"/>
      <c r="CD213" s="25"/>
      <c r="CE213" s="25"/>
      <c r="CF213" s="25"/>
      <c r="CG213" s="25"/>
      <c r="CH213" s="25"/>
      <c r="CI213" s="25"/>
      <c r="CJ213" s="25"/>
      <c r="CK213" s="25"/>
      <c r="CL213" s="25"/>
      <c r="CM213" s="25"/>
      <c r="CN213" s="25"/>
      <c r="CO213" s="25"/>
      <c r="CP213" s="25"/>
      <c r="CQ213" s="25"/>
      <c r="CR213" s="25"/>
      <c r="CS213" s="25"/>
      <c r="CT213" s="25"/>
      <c r="CU213" s="25"/>
      <c r="CV213" s="25"/>
      <c r="CW213" s="25"/>
      <c r="CX213" s="25"/>
      <c r="CY213" s="25"/>
      <c r="CZ213" s="25"/>
      <c r="DA213" s="25"/>
      <c r="DB213" s="25"/>
      <c r="DC213" s="25"/>
      <c r="DD213" s="25"/>
      <c r="DE213" s="25"/>
      <c r="DF213" s="25"/>
      <c r="DG213" s="25"/>
      <c r="DH213" s="25"/>
      <c r="DI213" s="25"/>
      <c r="DJ213" s="25"/>
      <c r="DK213" s="25"/>
      <c r="DL213" s="25"/>
      <c r="DM213" s="25"/>
      <c r="DN213" s="25"/>
      <c r="DO213" s="25"/>
      <c r="DP213" s="25"/>
      <c r="DQ213" s="25"/>
    </row>
    <row r="214" spans="1:121" s="558" customFormat="1" ht="24.95" customHeight="1" x14ac:dyDescent="0.25">
      <c r="A214" s="924">
        <v>230</v>
      </c>
      <c r="B214" s="727">
        <v>3612</v>
      </c>
      <c r="C214" s="728">
        <v>6121</v>
      </c>
      <c r="D214" s="1247">
        <v>8189</v>
      </c>
      <c r="E214" s="668" t="s">
        <v>372</v>
      </c>
      <c r="F214" s="383" t="s">
        <v>127</v>
      </c>
      <c r="G214" s="111">
        <v>400</v>
      </c>
      <c r="H214" s="111">
        <v>2018</v>
      </c>
      <c r="I214" s="112">
        <v>2020</v>
      </c>
      <c r="J214" s="462">
        <f t="shared" si="34"/>
        <v>42527</v>
      </c>
      <c r="K214" s="463">
        <v>1476</v>
      </c>
      <c r="L214" s="464">
        <v>160</v>
      </c>
      <c r="M214" s="465">
        <f t="shared" si="35"/>
        <v>10891</v>
      </c>
      <c r="N214" s="466">
        <v>1853</v>
      </c>
      <c r="O214" s="475">
        <f>29038-20000</f>
        <v>9038</v>
      </c>
      <c r="P214" s="467">
        <v>0</v>
      </c>
      <c r="Q214" s="464">
        <v>0</v>
      </c>
      <c r="R214" s="469">
        <f>10000+20000</f>
        <v>30000</v>
      </c>
      <c r="S214" s="467">
        <v>0</v>
      </c>
      <c r="T214" s="464">
        <v>0</v>
      </c>
      <c r="U214" s="469">
        <v>0</v>
      </c>
      <c r="V214" s="467">
        <v>0</v>
      </c>
      <c r="W214" s="464">
        <v>0</v>
      </c>
      <c r="X214" s="469">
        <v>0</v>
      </c>
      <c r="Y214" s="467">
        <v>0</v>
      </c>
      <c r="Z214" s="468">
        <v>0</v>
      </c>
      <c r="AA214" s="478">
        <v>0</v>
      </c>
      <c r="AB214" s="25"/>
      <c r="AC214" s="25"/>
      <c r="AD214" s="25"/>
      <c r="AE214" s="25"/>
      <c r="AF214" s="25"/>
      <c r="AG214" s="25"/>
      <c r="AH214" s="25"/>
      <c r="AI214" s="25"/>
      <c r="AJ214" s="25"/>
      <c r="AK214" s="25"/>
      <c r="AL214" s="25"/>
      <c r="AM214" s="25"/>
      <c r="AN214" s="25"/>
      <c r="AO214" s="25"/>
      <c r="AP214" s="25"/>
      <c r="AQ214" s="25"/>
      <c r="AR214" s="25"/>
      <c r="AS214" s="25"/>
      <c r="AT214" s="25"/>
      <c r="AU214" s="25"/>
      <c r="AV214" s="25"/>
      <c r="AW214" s="25"/>
      <c r="AX214" s="25"/>
      <c r="AY214" s="25"/>
      <c r="AZ214" s="25"/>
      <c r="BA214" s="25"/>
      <c r="BB214" s="25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5"/>
      <c r="BT214" s="25"/>
      <c r="BU214" s="25"/>
      <c r="BV214" s="25"/>
      <c r="BW214" s="25"/>
      <c r="BX214" s="25"/>
      <c r="BY214" s="25"/>
      <c r="BZ214" s="25"/>
      <c r="CA214" s="25"/>
      <c r="CB214" s="25"/>
      <c r="CC214" s="25"/>
      <c r="CD214" s="25"/>
      <c r="CE214" s="25"/>
      <c r="CF214" s="25"/>
      <c r="CG214" s="25"/>
      <c r="CH214" s="25"/>
      <c r="CI214" s="25"/>
      <c r="CJ214" s="25"/>
      <c r="CK214" s="25"/>
      <c r="CL214" s="25"/>
      <c r="CM214" s="25"/>
      <c r="CN214" s="25"/>
      <c r="CO214" s="25"/>
      <c r="CP214" s="25"/>
      <c r="CQ214" s="25"/>
      <c r="CR214" s="25"/>
      <c r="CS214" s="25"/>
      <c r="CT214" s="25"/>
      <c r="CU214" s="25"/>
      <c r="CV214" s="25"/>
      <c r="CW214" s="25"/>
      <c r="CX214" s="25"/>
      <c r="CY214" s="25"/>
      <c r="CZ214" s="25"/>
      <c r="DA214" s="25"/>
      <c r="DB214" s="25"/>
      <c r="DC214" s="25"/>
      <c r="DD214" s="25"/>
      <c r="DE214" s="25"/>
      <c r="DF214" s="25"/>
      <c r="DG214" s="25"/>
      <c r="DH214" s="25"/>
      <c r="DI214" s="25"/>
      <c r="DJ214" s="25"/>
      <c r="DK214" s="25"/>
      <c r="DL214" s="25"/>
      <c r="DM214" s="25"/>
      <c r="DN214" s="25"/>
      <c r="DO214" s="25"/>
      <c r="DP214" s="25"/>
      <c r="DQ214" s="25"/>
    </row>
    <row r="215" spans="1:121" s="23" customFormat="1" ht="24.95" customHeight="1" x14ac:dyDescent="0.25">
      <c r="A215" s="951">
        <v>230</v>
      </c>
      <c r="B215" s="781">
        <v>3613</v>
      </c>
      <c r="C215" s="782">
        <v>6121</v>
      </c>
      <c r="D215" s="1231">
        <v>8235</v>
      </c>
      <c r="E215" s="917" t="s">
        <v>371</v>
      </c>
      <c r="F215" s="383" t="s">
        <v>127</v>
      </c>
      <c r="G215" s="111">
        <v>400</v>
      </c>
      <c r="H215" s="979">
        <v>2018</v>
      </c>
      <c r="I215" s="978">
        <v>2020</v>
      </c>
      <c r="J215" s="462">
        <f t="shared" si="34"/>
        <v>16240</v>
      </c>
      <c r="K215" s="463">
        <v>0</v>
      </c>
      <c r="L215" s="464">
        <v>240</v>
      </c>
      <c r="M215" s="465">
        <f t="shared" si="35"/>
        <v>0</v>
      </c>
      <c r="N215" s="466">
        <v>0</v>
      </c>
      <c r="O215" s="475">
        <f>1000-1000</f>
        <v>0</v>
      </c>
      <c r="P215" s="467">
        <v>0</v>
      </c>
      <c r="Q215" s="464">
        <v>0</v>
      </c>
      <c r="R215" s="469">
        <f>15000+1000</f>
        <v>16000</v>
      </c>
      <c r="S215" s="467">
        <v>0</v>
      </c>
      <c r="T215" s="464">
        <v>0</v>
      </c>
      <c r="U215" s="469">
        <v>0</v>
      </c>
      <c r="V215" s="467">
        <v>0</v>
      </c>
      <c r="W215" s="464">
        <v>0</v>
      </c>
      <c r="X215" s="469">
        <v>0</v>
      </c>
      <c r="Y215" s="467">
        <v>0</v>
      </c>
      <c r="Z215" s="468">
        <v>0</v>
      </c>
      <c r="AA215" s="478">
        <v>0</v>
      </c>
      <c r="AB215" s="981"/>
      <c r="AC215" s="30"/>
      <c r="AD215" s="30"/>
      <c r="AE215" s="30"/>
      <c r="AF215" s="25"/>
      <c r="AG215" s="25"/>
      <c r="AH215" s="25"/>
      <c r="AI215" s="25"/>
      <c r="AJ215" s="25"/>
      <c r="AK215" s="25"/>
      <c r="AL215" s="25"/>
      <c r="AM215" s="25"/>
      <c r="AN215" s="25"/>
      <c r="AO215" s="25"/>
      <c r="AP215" s="25"/>
      <c r="AQ215" s="25"/>
      <c r="AR215" s="25"/>
      <c r="AS215" s="25"/>
      <c r="AT215" s="25"/>
      <c r="AU215" s="25"/>
      <c r="AV215" s="25"/>
      <c r="AW215" s="25"/>
      <c r="AX215" s="25"/>
      <c r="AY215" s="25"/>
      <c r="AZ215" s="25"/>
      <c r="BA215" s="25"/>
      <c r="BB215" s="25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5"/>
      <c r="BT215" s="25"/>
      <c r="BU215" s="25"/>
      <c r="BV215" s="25"/>
      <c r="BW215" s="25"/>
      <c r="BX215" s="25"/>
      <c r="BY215" s="25"/>
      <c r="BZ215" s="25"/>
      <c r="CA215" s="25"/>
      <c r="CB215" s="25"/>
      <c r="CC215" s="25"/>
      <c r="CD215" s="25"/>
      <c r="CE215" s="25"/>
      <c r="CF215" s="25"/>
      <c r="CG215" s="25"/>
      <c r="CH215" s="25"/>
      <c r="CI215" s="25"/>
      <c r="CJ215" s="25"/>
      <c r="CK215" s="25"/>
      <c r="CL215" s="25"/>
      <c r="CM215" s="25"/>
      <c r="CN215" s="25"/>
      <c r="CO215" s="25"/>
      <c r="CP215" s="25"/>
      <c r="CQ215" s="25"/>
      <c r="CR215" s="25"/>
      <c r="CS215" s="25"/>
      <c r="CT215" s="25"/>
      <c r="CU215" s="25"/>
      <c r="CV215" s="25"/>
      <c r="CW215" s="25"/>
      <c r="CX215" s="25"/>
      <c r="CY215" s="25"/>
      <c r="CZ215" s="25"/>
      <c r="DA215" s="25"/>
      <c r="DB215" s="25"/>
      <c r="DC215" s="25"/>
      <c r="DD215" s="25"/>
      <c r="DE215" s="25"/>
      <c r="DF215" s="25"/>
      <c r="DG215" s="25"/>
      <c r="DH215" s="25"/>
      <c r="DI215" s="25"/>
      <c r="DJ215" s="25"/>
      <c r="DK215" s="25"/>
      <c r="DL215" s="25"/>
      <c r="DM215" s="25"/>
      <c r="DN215" s="25"/>
      <c r="DO215" s="25"/>
      <c r="DP215" s="25"/>
      <c r="DQ215" s="25"/>
    </row>
    <row r="216" spans="1:121" s="125" customFormat="1" ht="24.95" customHeight="1" x14ac:dyDescent="0.25">
      <c r="A216" s="893">
        <v>230</v>
      </c>
      <c r="B216" s="907">
        <v>3631</v>
      </c>
      <c r="C216" s="906">
        <v>6121</v>
      </c>
      <c r="D216" s="988">
        <v>4042</v>
      </c>
      <c r="E216" s="977" t="s">
        <v>370</v>
      </c>
      <c r="F216" s="439"/>
      <c r="G216" s="440">
        <v>400</v>
      </c>
      <c r="H216" s="440">
        <v>2019</v>
      </c>
      <c r="I216" s="441">
        <v>2019</v>
      </c>
      <c r="J216" s="442">
        <f t="shared" si="34"/>
        <v>1250</v>
      </c>
      <c r="K216" s="443">
        <v>0</v>
      </c>
      <c r="L216" s="444">
        <v>0</v>
      </c>
      <c r="M216" s="445">
        <f t="shared" si="35"/>
        <v>1250</v>
      </c>
      <c r="N216" s="446">
        <v>250</v>
      </c>
      <c r="O216" s="447">
        <f>3000-2000</f>
        <v>1000</v>
      </c>
      <c r="P216" s="448">
        <v>0</v>
      </c>
      <c r="Q216" s="444">
        <v>0</v>
      </c>
      <c r="R216" s="449">
        <v>0</v>
      </c>
      <c r="S216" s="448">
        <v>0</v>
      </c>
      <c r="T216" s="444">
        <v>0</v>
      </c>
      <c r="U216" s="449">
        <v>0</v>
      </c>
      <c r="V216" s="448">
        <v>0</v>
      </c>
      <c r="W216" s="444">
        <v>0</v>
      </c>
      <c r="X216" s="449">
        <v>0</v>
      </c>
      <c r="Y216" s="448">
        <v>0</v>
      </c>
      <c r="Z216" s="492">
        <v>0</v>
      </c>
      <c r="AA216" s="493">
        <v>0</v>
      </c>
      <c r="AB216" s="25"/>
      <c r="AC216" s="25"/>
      <c r="AD216" s="25"/>
      <c r="AE216" s="25"/>
      <c r="AF216" s="25"/>
      <c r="AG216" s="25"/>
      <c r="AH216" s="25"/>
      <c r="AI216" s="25"/>
      <c r="AJ216" s="25"/>
      <c r="AK216" s="25"/>
      <c r="AL216" s="25"/>
      <c r="AM216" s="25"/>
      <c r="AN216" s="25"/>
      <c r="AO216" s="25"/>
      <c r="AP216" s="25"/>
      <c r="AQ216" s="25"/>
      <c r="AR216" s="25"/>
      <c r="AS216" s="25"/>
      <c r="AT216" s="25"/>
      <c r="AU216" s="25"/>
      <c r="AV216" s="25"/>
      <c r="AW216" s="25"/>
      <c r="AX216" s="25"/>
      <c r="AY216" s="25"/>
      <c r="AZ216" s="25"/>
      <c r="BA216" s="25"/>
      <c r="BB216" s="25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5"/>
      <c r="BT216" s="25"/>
      <c r="BU216" s="25"/>
      <c r="BV216" s="25"/>
      <c r="BW216" s="25"/>
      <c r="BX216" s="25"/>
      <c r="BY216" s="25"/>
      <c r="BZ216" s="25"/>
      <c r="CA216" s="25"/>
      <c r="CB216" s="25"/>
      <c r="CC216" s="25"/>
      <c r="CD216" s="25"/>
      <c r="CE216" s="25"/>
      <c r="CF216" s="25"/>
      <c r="CG216" s="25"/>
      <c r="CH216" s="25"/>
      <c r="CI216" s="25"/>
      <c r="CJ216" s="25"/>
      <c r="CK216" s="25"/>
      <c r="CL216" s="25"/>
      <c r="CM216" s="25"/>
      <c r="CN216" s="25"/>
      <c r="CO216" s="25"/>
      <c r="CP216" s="25"/>
      <c r="CQ216" s="25"/>
      <c r="CR216" s="25"/>
      <c r="CS216" s="25"/>
      <c r="CT216" s="25"/>
      <c r="CU216" s="25"/>
      <c r="CV216" s="25"/>
      <c r="CW216" s="25"/>
      <c r="CX216" s="25"/>
      <c r="CY216" s="25"/>
      <c r="CZ216" s="25"/>
      <c r="DA216" s="25"/>
      <c r="DB216" s="25"/>
      <c r="DC216" s="25"/>
      <c r="DD216" s="25"/>
      <c r="DE216" s="25"/>
      <c r="DF216" s="25"/>
      <c r="DG216" s="25"/>
      <c r="DH216" s="25"/>
      <c r="DI216" s="25"/>
      <c r="DJ216" s="25"/>
      <c r="DK216" s="25"/>
      <c r="DL216" s="25"/>
      <c r="DM216" s="25"/>
      <c r="DN216" s="25"/>
      <c r="DO216" s="25"/>
      <c r="DP216" s="25"/>
      <c r="DQ216" s="25"/>
    </row>
    <row r="217" spans="1:121" s="125" customFormat="1" ht="24.95" customHeight="1" x14ac:dyDescent="0.25">
      <c r="A217" s="881">
        <v>230</v>
      </c>
      <c r="B217" s="666">
        <v>3631</v>
      </c>
      <c r="C217" s="667">
        <v>6121</v>
      </c>
      <c r="D217" s="1231">
        <v>4098</v>
      </c>
      <c r="E217" s="976" t="s">
        <v>369</v>
      </c>
      <c r="F217" s="110"/>
      <c r="G217" s="111">
        <v>400</v>
      </c>
      <c r="H217" s="111">
        <v>2019</v>
      </c>
      <c r="I217" s="112">
        <v>2019</v>
      </c>
      <c r="J217" s="462">
        <f t="shared" si="34"/>
        <v>3255</v>
      </c>
      <c r="K217" s="463">
        <v>0</v>
      </c>
      <c r="L217" s="464">
        <v>0</v>
      </c>
      <c r="M217" s="465">
        <f t="shared" si="35"/>
        <v>3255</v>
      </c>
      <c r="N217" s="466">
        <v>2755</v>
      </c>
      <c r="O217" s="475">
        <v>500</v>
      </c>
      <c r="P217" s="467">
        <v>0</v>
      </c>
      <c r="Q217" s="464">
        <v>0</v>
      </c>
      <c r="R217" s="469">
        <v>0</v>
      </c>
      <c r="S217" s="467">
        <v>0</v>
      </c>
      <c r="T217" s="464">
        <v>0</v>
      </c>
      <c r="U217" s="469">
        <v>0</v>
      </c>
      <c r="V217" s="467">
        <v>0</v>
      </c>
      <c r="W217" s="464">
        <v>0</v>
      </c>
      <c r="X217" s="469">
        <v>0</v>
      </c>
      <c r="Y217" s="467">
        <v>0</v>
      </c>
      <c r="Z217" s="468">
        <v>0</v>
      </c>
      <c r="AA217" s="478">
        <v>0</v>
      </c>
      <c r="AB217" s="25"/>
      <c r="AC217" s="25"/>
      <c r="AD217" s="25"/>
      <c r="AE217" s="25"/>
      <c r="AF217" s="25"/>
      <c r="AG217" s="25"/>
      <c r="AH217" s="25"/>
      <c r="AI217" s="25"/>
      <c r="AJ217" s="25"/>
      <c r="AK217" s="25"/>
      <c r="AL217" s="25"/>
      <c r="AM217" s="25"/>
      <c r="AN217" s="25"/>
      <c r="AO217" s="25"/>
      <c r="AP217" s="25"/>
      <c r="AQ217" s="25"/>
      <c r="AR217" s="25"/>
      <c r="AS217" s="25"/>
      <c r="AT217" s="25"/>
      <c r="AU217" s="25"/>
      <c r="AV217" s="25"/>
      <c r="AW217" s="25"/>
      <c r="AX217" s="25"/>
      <c r="AY217" s="25"/>
      <c r="AZ217" s="25"/>
      <c r="BA217" s="25"/>
      <c r="BB217" s="25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5"/>
      <c r="BT217" s="25"/>
      <c r="BU217" s="25"/>
      <c r="BV217" s="25"/>
      <c r="BW217" s="25"/>
      <c r="BX217" s="25"/>
      <c r="BY217" s="25"/>
      <c r="BZ217" s="25"/>
      <c r="CA217" s="25"/>
      <c r="CB217" s="25"/>
      <c r="CC217" s="25"/>
      <c r="CD217" s="25"/>
      <c r="CE217" s="25"/>
      <c r="CF217" s="25"/>
      <c r="CG217" s="25"/>
      <c r="CH217" s="25"/>
      <c r="CI217" s="25"/>
      <c r="CJ217" s="25"/>
      <c r="CK217" s="25"/>
      <c r="CL217" s="25"/>
      <c r="CM217" s="25"/>
      <c r="CN217" s="25"/>
      <c r="CO217" s="25"/>
      <c r="CP217" s="25"/>
      <c r="CQ217" s="25"/>
      <c r="CR217" s="25"/>
      <c r="CS217" s="25"/>
      <c r="CT217" s="25"/>
      <c r="CU217" s="25"/>
      <c r="CV217" s="25"/>
      <c r="CW217" s="25"/>
      <c r="CX217" s="25"/>
      <c r="CY217" s="25"/>
      <c r="CZ217" s="25"/>
      <c r="DA217" s="25"/>
      <c r="DB217" s="25"/>
      <c r="DC217" s="25"/>
      <c r="DD217" s="25"/>
      <c r="DE217" s="25"/>
      <c r="DF217" s="25"/>
      <c r="DG217" s="25"/>
      <c r="DH217" s="25"/>
      <c r="DI217" s="25"/>
      <c r="DJ217" s="25"/>
      <c r="DK217" s="25"/>
      <c r="DL217" s="25"/>
      <c r="DM217" s="25"/>
      <c r="DN217" s="25"/>
      <c r="DO217" s="25"/>
      <c r="DP217" s="25"/>
      <c r="DQ217" s="25"/>
    </row>
    <row r="218" spans="1:121" s="125" customFormat="1" ht="24.95" customHeight="1" x14ac:dyDescent="0.25">
      <c r="A218" s="881">
        <v>230</v>
      </c>
      <c r="B218" s="666">
        <v>3631</v>
      </c>
      <c r="C218" s="667">
        <v>6121</v>
      </c>
      <c r="D218" s="1230">
        <v>4320</v>
      </c>
      <c r="E218" s="915" t="s">
        <v>368</v>
      </c>
      <c r="F218" s="967" t="s">
        <v>121</v>
      </c>
      <c r="G218" s="111">
        <v>400</v>
      </c>
      <c r="H218" s="111">
        <v>2018</v>
      </c>
      <c r="I218" s="112">
        <v>2019</v>
      </c>
      <c r="J218" s="462">
        <f t="shared" si="34"/>
        <v>4335</v>
      </c>
      <c r="K218" s="463">
        <v>0</v>
      </c>
      <c r="L218" s="464">
        <v>4294</v>
      </c>
      <c r="M218" s="465">
        <f t="shared" si="35"/>
        <v>41</v>
      </c>
      <c r="N218" s="466">
        <v>41</v>
      </c>
      <c r="O218" s="726">
        <v>0</v>
      </c>
      <c r="P218" s="467">
        <v>0</v>
      </c>
      <c r="Q218" s="464">
        <v>0</v>
      </c>
      <c r="R218" s="469">
        <v>0</v>
      </c>
      <c r="S218" s="467">
        <v>0</v>
      </c>
      <c r="T218" s="464">
        <v>0</v>
      </c>
      <c r="U218" s="469">
        <v>0</v>
      </c>
      <c r="V218" s="467">
        <v>0</v>
      </c>
      <c r="W218" s="464">
        <v>0</v>
      </c>
      <c r="X218" s="469">
        <v>0</v>
      </c>
      <c r="Y218" s="467">
        <v>0</v>
      </c>
      <c r="Z218" s="468">
        <v>0</v>
      </c>
      <c r="AA218" s="478">
        <v>0</v>
      </c>
      <c r="AB218" s="25"/>
      <c r="AC218" s="25"/>
      <c r="AD218" s="25"/>
      <c r="AE218" s="25"/>
      <c r="AF218" s="25"/>
      <c r="AG218" s="25"/>
      <c r="AH218" s="25"/>
      <c r="AI218" s="25"/>
      <c r="AJ218" s="25"/>
      <c r="AK218" s="25"/>
      <c r="AL218" s="25"/>
      <c r="AM218" s="25"/>
      <c r="AN218" s="25"/>
      <c r="AO218" s="25"/>
      <c r="AP218" s="25"/>
      <c r="AQ218" s="25"/>
      <c r="AR218" s="25"/>
      <c r="AS218" s="25"/>
      <c r="AT218" s="25"/>
      <c r="AU218" s="25"/>
      <c r="AV218" s="25"/>
      <c r="AW218" s="25"/>
      <c r="AX218" s="25"/>
      <c r="AY218" s="25"/>
      <c r="AZ218" s="25"/>
      <c r="BA218" s="25"/>
      <c r="BB218" s="25"/>
      <c r="BC218" s="25"/>
      <c r="BD218" s="25"/>
      <c r="BE218" s="25"/>
      <c r="BF218" s="25"/>
      <c r="BG218" s="25"/>
      <c r="BH218" s="25"/>
      <c r="BI218" s="25"/>
      <c r="BJ218" s="25"/>
      <c r="BK218" s="25"/>
      <c r="BL218" s="25"/>
      <c r="BM218" s="25"/>
      <c r="BN218" s="25"/>
      <c r="BO218" s="25"/>
      <c r="BP218" s="25"/>
      <c r="BQ218" s="25"/>
      <c r="BR218" s="25"/>
      <c r="BS218" s="25"/>
      <c r="BT218" s="25"/>
      <c r="BU218" s="25"/>
      <c r="BV218" s="25"/>
      <c r="BW218" s="25"/>
      <c r="BX218" s="25"/>
      <c r="BY218" s="25"/>
      <c r="BZ218" s="25"/>
      <c r="CA218" s="25"/>
      <c r="CB218" s="25"/>
      <c r="CC218" s="25"/>
      <c r="CD218" s="25"/>
      <c r="CE218" s="25"/>
      <c r="CF218" s="25"/>
      <c r="CG218" s="25"/>
      <c r="CH218" s="25"/>
      <c r="CI218" s="25"/>
      <c r="CJ218" s="25"/>
      <c r="CK218" s="25"/>
      <c r="CL218" s="25"/>
      <c r="CM218" s="25"/>
      <c r="CN218" s="25"/>
      <c r="CO218" s="25"/>
      <c r="CP218" s="25"/>
      <c r="CQ218" s="25"/>
      <c r="CR218" s="25"/>
      <c r="CS218" s="25"/>
      <c r="CT218" s="25"/>
      <c r="CU218" s="25"/>
      <c r="CV218" s="25"/>
      <c r="CW218" s="25"/>
      <c r="CX218" s="25"/>
      <c r="CY218" s="25"/>
      <c r="CZ218" s="25"/>
      <c r="DA218" s="25"/>
      <c r="DB218" s="25"/>
      <c r="DC218" s="25"/>
      <c r="DD218" s="25"/>
      <c r="DE218" s="25"/>
      <c r="DF218" s="25"/>
      <c r="DG218" s="25"/>
      <c r="DH218" s="25"/>
      <c r="DI218" s="25"/>
      <c r="DJ218" s="25"/>
      <c r="DK218" s="25"/>
      <c r="DL218" s="25"/>
      <c r="DM218" s="25"/>
      <c r="DN218" s="25"/>
      <c r="DO218" s="25"/>
      <c r="DP218" s="25"/>
      <c r="DQ218" s="25"/>
    </row>
    <row r="219" spans="1:121" s="125" customFormat="1" ht="24.95" customHeight="1" x14ac:dyDescent="0.25">
      <c r="A219" s="881">
        <v>230</v>
      </c>
      <c r="B219" s="666">
        <v>3631</v>
      </c>
      <c r="C219" s="667">
        <v>6121</v>
      </c>
      <c r="D219" s="1230">
        <v>4329</v>
      </c>
      <c r="E219" s="915" t="s">
        <v>367</v>
      </c>
      <c r="F219" s="967" t="s">
        <v>117</v>
      </c>
      <c r="G219" s="111">
        <v>400</v>
      </c>
      <c r="H219" s="111">
        <v>2018</v>
      </c>
      <c r="I219" s="112">
        <v>2019</v>
      </c>
      <c r="J219" s="462">
        <f t="shared" si="34"/>
        <v>6329</v>
      </c>
      <c r="K219" s="463">
        <v>0</v>
      </c>
      <c r="L219" s="464">
        <f>4599+350</f>
        <v>4949</v>
      </c>
      <c r="M219" s="465">
        <f t="shared" si="35"/>
        <v>1380</v>
      </c>
      <c r="N219" s="466">
        <v>1380</v>
      </c>
      <c r="O219" s="726">
        <v>0</v>
      </c>
      <c r="P219" s="467">
        <v>0</v>
      </c>
      <c r="Q219" s="464">
        <v>0</v>
      </c>
      <c r="R219" s="469">
        <v>0</v>
      </c>
      <c r="S219" s="467">
        <v>0</v>
      </c>
      <c r="T219" s="464">
        <v>0</v>
      </c>
      <c r="U219" s="469">
        <v>0</v>
      </c>
      <c r="V219" s="467">
        <v>0</v>
      </c>
      <c r="W219" s="464">
        <v>0</v>
      </c>
      <c r="X219" s="469">
        <v>0</v>
      </c>
      <c r="Y219" s="467">
        <v>0</v>
      </c>
      <c r="Z219" s="468">
        <v>0</v>
      </c>
      <c r="AA219" s="478">
        <v>0</v>
      </c>
      <c r="AB219" s="25"/>
      <c r="AC219" s="25"/>
      <c r="AD219" s="25"/>
      <c r="AE219" s="25"/>
      <c r="AF219" s="25"/>
      <c r="AG219" s="25"/>
      <c r="AH219" s="25"/>
      <c r="AI219" s="25"/>
      <c r="AJ219" s="25"/>
      <c r="AK219" s="25"/>
      <c r="AL219" s="25"/>
      <c r="AM219" s="25"/>
      <c r="AN219" s="25"/>
      <c r="AO219" s="25"/>
      <c r="AP219" s="25"/>
      <c r="AQ219" s="25"/>
      <c r="AR219" s="25"/>
      <c r="AS219" s="25"/>
      <c r="AT219" s="25"/>
      <c r="AU219" s="25"/>
      <c r="AV219" s="25"/>
      <c r="AW219" s="25"/>
      <c r="AX219" s="25"/>
      <c r="AY219" s="25"/>
      <c r="AZ219" s="25"/>
      <c r="BA219" s="25"/>
      <c r="BB219" s="25"/>
      <c r="BC219" s="25"/>
      <c r="BD219" s="25"/>
      <c r="BE219" s="25"/>
      <c r="BF219" s="25"/>
      <c r="BG219" s="25"/>
      <c r="BH219" s="25"/>
      <c r="BI219" s="25"/>
      <c r="BJ219" s="25"/>
      <c r="BK219" s="25"/>
      <c r="BL219" s="25"/>
      <c r="BM219" s="25"/>
      <c r="BN219" s="25"/>
      <c r="BO219" s="25"/>
      <c r="BP219" s="25"/>
      <c r="BQ219" s="25"/>
      <c r="BR219" s="25"/>
      <c r="BS219" s="25"/>
      <c r="BT219" s="25"/>
      <c r="BU219" s="25"/>
      <c r="BV219" s="25"/>
      <c r="BW219" s="25"/>
      <c r="BX219" s="25"/>
      <c r="BY219" s="25"/>
      <c r="BZ219" s="25"/>
      <c r="CA219" s="25"/>
      <c r="CB219" s="25"/>
      <c r="CC219" s="25"/>
      <c r="CD219" s="25"/>
      <c r="CE219" s="25"/>
      <c r="CF219" s="25"/>
      <c r="CG219" s="25"/>
      <c r="CH219" s="25"/>
      <c r="CI219" s="25"/>
      <c r="CJ219" s="25"/>
      <c r="CK219" s="25"/>
      <c r="CL219" s="25"/>
      <c r="CM219" s="25"/>
      <c r="CN219" s="25"/>
      <c r="CO219" s="25"/>
      <c r="CP219" s="25"/>
      <c r="CQ219" s="25"/>
      <c r="CR219" s="25"/>
      <c r="CS219" s="25"/>
      <c r="CT219" s="25"/>
      <c r="CU219" s="25"/>
      <c r="CV219" s="25"/>
      <c r="CW219" s="25"/>
      <c r="CX219" s="25"/>
      <c r="CY219" s="25"/>
      <c r="CZ219" s="25"/>
      <c r="DA219" s="25"/>
      <c r="DB219" s="25"/>
      <c r="DC219" s="25"/>
      <c r="DD219" s="25"/>
      <c r="DE219" s="25"/>
      <c r="DF219" s="25"/>
      <c r="DG219" s="25"/>
      <c r="DH219" s="25"/>
      <c r="DI219" s="25"/>
      <c r="DJ219" s="25"/>
      <c r="DK219" s="25"/>
      <c r="DL219" s="25"/>
      <c r="DM219" s="25"/>
      <c r="DN219" s="25"/>
      <c r="DO219" s="25"/>
      <c r="DP219" s="25"/>
      <c r="DQ219" s="25"/>
    </row>
    <row r="220" spans="1:121" s="125" customFormat="1" ht="24.95" customHeight="1" x14ac:dyDescent="0.25">
      <c r="A220" s="881">
        <v>230</v>
      </c>
      <c r="B220" s="666">
        <v>3631</v>
      </c>
      <c r="C220" s="667">
        <v>6121</v>
      </c>
      <c r="D220" s="1230">
        <v>4331</v>
      </c>
      <c r="E220" s="915" t="s">
        <v>366</v>
      </c>
      <c r="F220" s="967" t="s">
        <v>117</v>
      </c>
      <c r="G220" s="111">
        <v>400</v>
      </c>
      <c r="H220" s="111">
        <v>2018</v>
      </c>
      <c r="I220" s="112">
        <v>2019</v>
      </c>
      <c r="J220" s="462">
        <f t="shared" si="34"/>
        <v>5883</v>
      </c>
      <c r="K220" s="463">
        <v>0</v>
      </c>
      <c r="L220" s="464">
        <v>4983</v>
      </c>
      <c r="M220" s="465">
        <f t="shared" si="35"/>
        <v>900</v>
      </c>
      <c r="N220" s="466">
        <v>900</v>
      </c>
      <c r="O220" s="726">
        <v>0</v>
      </c>
      <c r="P220" s="467">
        <v>0</v>
      </c>
      <c r="Q220" s="464">
        <v>0</v>
      </c>
      <c r="R220" s="469">
        <v>0</v>
      </c>
      <c r="S220" s="467">
        <v>0</v>
      </c>
      <c r="T220" s="464">
        <v>0</v>
      </c>
      <c r="U220" s="469">
        <v>0</v>
      </c>
      <c r="V220" s="467">
        <v>0</v>
      </c>
      <c r="W220" s="464">
        <v>0</v>
      </c>
      <c r="X220" s="469">
        <v>0</v>
      </c>
      <c r="Y220" s="467">
        <v>0</v>
      </c>
      <c r="Z220" s="468">
        <v>0</v>
      </c>
      <c r="AA220" s="478">
        <v>0</v>
      </c>
      <c r="AB220" s="25"/>
      <c r="AC220" s="25"/>
      <c r="AD220" s="25"/>
      <c r="AE220" s="25"/>
      <c r="AF220" s="25"/>
      <c r="AG220" s="25"/>
      <c r="AH220" s="25"/>
      <c r="AI220" s="25"/>
      <c r="AJ220" s="25"/>
      <c r="AK220" s="25"/>
      <c r="AL220" s="25"/>
      <c r="AM220" s="25"/>
      <c r="AN220" s="25"/>
      <c r="AO220" s="25"/>
      <c r="AP220" s="25"/>
      <c r="AQ220" s="25"/>
      <c r="AR220" s="25"/>
      <c r="AS220" s="25"/>
      <c r="AT220" s="25"/>
      <c r="AU220" s="25"/>
      <c r="AV220" s="25"/>
      <c r="AW220" s="25"/>
      <c r="AX220" s="25"/>
      <c r="AY220" s="25"/>
      <c r="AZ220" s="25"/>
      <c r="BA220" s="25"/>
      <c r="BB220" s="25"/>
      <c r="BC220" s="25"/>
      <c r="BD220" s="25"/>
      <c r="BE220" s="25"/>
      <c r="BF220" s="25"/>
      <c r="BG220" s="25"/>
      <c r="BH220" s="25"/>
      <c r="BI220" s="25"/>
      <c r="BJ220" s="25"/>
      <c r="BK220" s="25"/>
      <c r="BL220" s="25"/>
      <c r="BM220" s="25"/>
      <c r="BN220" s="25"/>
      <c r="BO220" s="25"/>
      <c r="BP220" s="25"/>
      <c r="BQ220" s="25"/>
      <c r="BR220" s="25"/>
      <c r="BS220" s="25"/>
      <c r="BT220" s="25"/>
      <c r="BU220" s="25"/>
      <c r="BV220" s="25"/>
      <c r="BW220" s="25"/>
      <c r="BX220" s="25"/>
      <c r="BY220" s="25"/>
      <c r="BZ220" s="25"/>
      <c r="CA220" s="25"/>
      <c r="CB220" s="25"/>
      <c r="CC220" s="25"/>
      <c r="CD220" s="25"/>
      <c r="CE220" s="25"/>
      <c r="CF220" s="25"/>
      <c r="CG220" s="25"/>
      <c r="CH220" s="25"/>
      <c r="CI220" s="25"/>
      <c r="CJ220" s="25"/>
      <c r="CK220" s="25"/>
      <c r="CL220" s="25"/>
      <c r="CM220" s="25"/>
      <c r="CN220" s="25"/>
      <c r="CO220" s="25"/>
      <c r="CP220" s="25"/>
      <c r="CQ220" s="25"/>
      <c r="CR220" s="25"/>
      <c r="CS220" s="25"/>
      <c r="CT220" s="25"/>
      <c r="CU220" s="25"/>
      <c r="CV220" s="25"/>
      <c r="CW220" s="25"/>
      <c r="CX220" s="25"/>
      <c r="CY220" s="25"/>
      <c r="CZ220" s="25"/>
      <c r="DA220" s="25"/>
      <c r="DB220" s="25"/>
      <c r="DC220" s="25"/>
      <c r="DD220" s="25"/>
      <c r="DE220" s="25"/>
      <c r="DF220" s="25"/>
      <c r="DG220" s="25"/>
      <c r="DH220" s="25"/>
      <c r="DI220" s="25"/>
      <c r="DJ220" s="25"/>
      <c r="DK220" s="25"/>
      <c r="DL220" s="25"/>
      <c r="DM220" s="25"/>
      <c r="DN220" s="25"/>
      <c r="DO220" s="25"/>
      <c r="DP220" s="25"/>
      <c r="DQ220" s="25"/>
    </row>
    <row r="221" spans="1:121" s="125" customFormat="1" ht="24.95" customHeight="1" x14ac:dyDescent="0.25">
      <c r="A221" s="881">
        <v>230</v>
      </c>
      <c r="B221" s="666">
        <v>3631</v>
      </c>
      <c r="C221" s="667">
        <v>6121</v>
      </c>
      <c r="D221" s="1230">
        <v>4337</v>
      </c>
      <c r="E221" s="915" t="s">
        <v>365</v>
      </c>
      <c r="F221" s="967" t="s">
        <v>341</v>
      </c>
      <c r="G221" s="111">
        <v>400</v>
      </c>
      <c r="H221" s="111">
        <v>2018</v>
      </c>
      <c r="I221" s="112">
        <v>2019</v>
      </c>
      <c r="J221" s="462">
        <f t="shared" si="34"/>
        <v>476</v>
      </c>
      <c r="K221" s="463">
        <v>0</v>
      </c>
      <c r="L221" s="464">
        <v>231</v>
      </c>
      <c r="M221" s="465">
        <f t="shared" si="35"/>
        <v>245</v>
      </c>
      <c r="N221" s="466">
        <v>245</v>
      </c>
      <c r="O221" s="726">
        <v>0</v>
      </c>
      <c r="P221" s="467">
        <v>0</v>
      </c>
      <c r="Q221" s="464">
        <v>0</v>
      </c>
      <c r="R221" s="469">
        <v>0</v>
      </c>
      <c r="S221" s="467">
        <v>0</v>
      </c>
      <c r="T221" s="464">
        <v>0</v>
      </c>
      <c r="U221" s="469">
        <v>0</v>
      </c>
      <c r="V221" s="467">
        <v>0</v>
      </c>
      <c r="W221" s="464">
        <v>0</v>
      </c>
      <c r="X221" s="469">
        <v>0</v>
      </c>
      <c r="Y221" s="467">
        <v>0</v>
      </c>
      <c r="Z221" s="468">
        <v>0</v>
      </c>
      <c r="AA221" s="478">
        <v>0</v>
      </c>
      <c r="AB221" s="25"/>
      <c r="AC221" s="25"/>
      <c r="AD221" s="25"/>
      <c r="AE221" s="25"/>
      <c r="AF221" s="25"/>
      <c r="AG221" s="25"/>
      <c r="AH221" s="25"/>
      <c r="AI221" s="25"/>
      <c r="AJ221" s="25"/>
      <c r="AK221" s="25"/>
      <c r="AL221" s="25"/>
      <c r="AM221" s="25"/>
      <c r="AN221" s="25"/>
      <c r="AO221" s="25"/>
      <c r="AP221" s="25"/>
      <c r="AQ221" s="25"/>
      <c r="AR221" s="25"/>
      <c r="AS221" s="25"/>
      <c r="AT221" s="25"/>
      <c r="AU221" s="25"/>
      <c r="AV221" s="25"/>
      <c r="AW221" s="25"/>
      <c r="AX221" s="25"/>
      <c r="AY221" s="25"/>
      <c r="AZ221" s="25"/>
      <c r="BA221" s="25"/>
      <c r="BB221" s="25"/>
      <c r="BC221" s="25"/>
      <c r="BD221" s="25"/>
      <c r="BE221" s="25"/>
      <c r="BF221" s="25"/>
      <c r="BG221" s="25"/>
      <c r="BH221" s="25"/>
      <c r="BI221" s="25"/>
      <c r="BJ221" s="25"/>
      <c r="BK221" s="25"/>
      <c r="BL221" s="25"/>
      <c r="BM221" s="25"/>
      <c r="BN221" s="25"/>
      <c r="BO221" s="25"/>
      <c r="BP221" s="25"/>
      <c r="BQ221" s="25"/>
      <c r="BR221" s="25"/>
      <c r="BS221" s="25"/>
      <c r="BT221" s="25"/>
      <c r="BU221" s="25"/>
      <c r="BV221" s="25"/>
      <c r="BW221" s="25"/>
      <c r="BX221" s="25"/>
      <c r="BY221" s="25"/>
      <c r="BZ221" s="25"/>
      <c r="CA221" s="25"/>
      <c r="CB221" s="25"/>
      <c r="CC221" s="25"/>
      <c r="CD221" s="25"/>
      <c r="CE221" s="25"/>
      <c r="CF221" s="25"/>
      <c r="CG221" s="25"/>
      <c r="CH221" s="25"/>
      <c r="CI221" s="25"/>
      <c r="CJ221" s="25"/>
      <c r="CK221" s="25"/>
      <c r="CL221" s="25"/>
      <c r="CM221" s="25"/>
      <c r="CN221" s="25"/>
      <c r="CO221" s="25"/>
      <c r="CP221" s="25"/>
      <c r="CQ221" s="25"/>
      <c r="CR221" s="25"/>
      <c r="CS221" s="25"/>
      <c r="CT221" s="25"/>
      <c r="CU221" s="25"/>
      <c r="CV221" s="25"/>
      <c r="CW221" s="25"/>
      <c r="CX221" s="25"/>
      <c r="CY221" s="25"/>
      <c r="CZ221" s="25"/>
      <c r="DA221" s="25"/>
      <c r="DB221" s="25"/>
      <c r="DC221" s="25"/>
      <c r="DD221" s="25"/>
      <c r="DE221" s="25"/>
      <c r="DF221" s="25"/>
      <c r="DG221" s="25"/>
      <c r="DH221" s="25"/>
      <c r="DI221" s="25"/>
      <c r="DJ221" s="25"/>
      <c r="DK221" s="25"/>
      <c r="DL221" s="25"/>
      <c r="DM221" s="25"/>
      <c r="DN221" s="25"/>
      <c r="DO221" s="25"/>
      <c r="DP221" s="25"/>
      <c r="DQ221" s="25"/>
    </row>
    <row r="222" spans="1:121" s="125" customFormat="1" ht="24.95" customHeight="1" x14ac:dyDescent="0.25">
      <c r="A222" s="881">
        <v>230</v>
      </c>
      <c r="B222" s="666">
        <v>3631</v>
      </c>
      <c r="C222" s="667">
        <v>6121</v>
      </c>
      <c r="D222" s="1230">
        <v>4340</v>
      </c>
      <c r="E222" s="915" t="s">
        <v>364</v>
      </c>
      <c r="F222" s="967" t="s">
        <v>127</v>
      </c>
      <c r="G222" s="111">
        <v>400</v>
      </c>
      <c r="H222" s="111">
        <v>2018</v>
      </c>
      <c r="I222" s="112">
        <v>2019</v>
      </c>
      <c r="J222" s="462">
        <f t="shared" si="34"/>
        <v>2181</v>
      </c>
      <c r="K222" s="463">
        <v>0</v>
      </c>
      <c r="L222" s="464">
        <v>577</v>
      </c>
      <c r="M222" s="465">
        <f t="shared" si="35"/>
        <v>1604</v>
      </c>
      <c r="N222" s="466">
        <v>1604</v>
      </c>
      <c r="O222" s="726">
        <v>0</v>
      </c>
      <c r="P222" s="467">
        <v>0</v>
      </c>
      <c r="Q222" s="464">
        <v>0</v>
      </c>
      <c r="R222" s="469">
        <v>0</v>
      </c>
      <c r="S222" s="467">
        <v>0</v>
      </c>
      <c r="T222" s="464">
        <v>0</v>
      </c>
      <c r="U222" s="469">
        <v>0</v>
      </c>
      <c r="V222" s="467">
        <v>0</v>
      </c>
      <c r="W222" s="464">
        <v>0</v>
      </c>
      <c r="X222" s="469">
        <v>0</v>
      </c>
      <c r="Y222" s="467">
        <v>0</v>
      </c>
      <c r="Z222" s="468">
        <v>0</v>
      </c>
      <c r="AA222" s="478">
        <v>0</v>
      </c>
      <c r="AB222" s="25"/>
      <c r="AC222" s="25"/>
      <c r="AD222" s="25"/>
      <c r="AE222" s="25"/>
      <c r="AF222" s="25"/>
      <c r="AG222" s="25"/>
      <c r="AH222" s="25"/>
      <c r="AI222" s="25"/>
      <c r="AJ222" s="25"/>
      <c r="AK222" s="25"/>
      <c r="AL222" s="25"/>
      <c r="AM222" s="25"/>
      <c r="AN222" s="25"/>
      <c r="AO222" s="25"/>
      <c r="AP222" s="25"/>
      <c r="AQ222" s="25"/>
      <c r="AR222" s="25"/>
      <c r="AS222" s="25"/>
      <c r="AT222" s="25"/>
      <c r="AU222" s="25"/>
      <c r="AV222" s="25"/>
      <c r="AW222" s="25"/>
      <c r="AX222" s="25"/>
      <c r="AY222" s="25"/>
      <c r="AZ222" s="25"/>
      <c r="BA222" s="25"/>
      <c r="BB222" s="25"/>
      <c r="BC222" s="25"/>
      <c r="BD222" s="25"/>
      <c r="BE222" s="25"/>
      <c r="BF222" s="25"/>
      <c r="BG222" s="25"/>
      <c r="BH222" s="25"/>
      <c r="BI222" s="25"/>
      <c r="BJ222" s="25"/>
      <c r="BK222" s="25"/>
      <c r="BL222" s="25"/>
      <c r="BM222" s="25"/>
      <c r="BN222" s="25"/>
      <c r="BO222" s="25"/>
      <c r="BP222" s="25"/>
      <c r="BQ222" s="25"/>
      <c r="BR222" s="25"/>
      <c r="BS222" s="25"/>
      <c r="BT222" s="25"/>
      <c r="BU222" s="25"/>
      <c r="BV222" s="25"/>
      <c r="BW222" s="25"/>
      <c r="BX222" s="25"/>
      <c r="BY222" s="25"/>
      <c r="BZ222" s="25"/>
      <c r="CA222" s="25"/>
      <c r="CB222" s="25"/>
      <c r="CC222" s="25"/>
      <c r="CD222" s="25"/>
      <c r="CE222" s="25"/>
      <c r="CF222" s="25"/>
      <c r="CG222" s="25"/>
      <c r="CH222" s="25"/>
      <c r="CI222" s="25"/>
      <c r="CJ222" s="25"/>
      <c r="CK222" s="25"/>
      <c r="CL222" s="25"/>
      <c r="CM222" s="25"/>
      <c r="CN222" s="25"/>
      <c r="CO222" s="25"/>
      <c r="CP222" s="25"/>
      <c r="CQ222" s="25"/>
      <c r="CR222" s="25"/>
      <c r="CS222" s="25"/>
      <c r="CT222" s="25"/>
      <c r="CU222" s="25"/>
      <c r="CV222" s="25"/>
      <c r="CW222" s="25"/>
      <c r="CX222" s="25"/>
      <c r="CY222" s="25"/>
      <c r="CZ222" s="25"/>
      <c r="DA222" s="25"/>
      <c r="DB222" s="25"/>
      <c r="DC222" s="25"/>
      <c r="DD222" s="25"/>
      <c r="DE222" s="25"/>
      <c r="DF222" s="25"/>
      <c r="DG222" s="25"/>
      <c r="DH222" s="25"/>
      <c r="DI222" s="25"/>
      <c r="DJ222" s="25"/>
      <c r="DK222" s="25"/>
      <c r="DL222" s="25"/>
      <c r="DM222" s="25"/>
      <c r="DN222" s="25"/>
      <c r="DO222" s="25"/>
      <c r="DP222" s="25"/>
      <c r="DQ222" s="25"/>
    </row>
    <row r="223" spans="1:121" s="125" customFormat="1" ht="24.95" customHeight="1" x14ac:dyDescent="0.25">
      <c r="A223" s="881">
        <v>230</v>
      </c>
      <c r="B223" s="666">
        <v>3631</v>
      </c>
      <c r="C223" s="667">
        <v>6121</v>
      </c>
      <c r="D223" s="1230">
        <v>4342</v>
      </c>
      <c r="E223" s="915" t="s">
        <v>363</v>
      </c>
      <c r="F223" s="967" t="s">
        <v>127</v>
      </c>
      <c r="G223" s="111">
        <v>400</v>
      </c>
      <c r="H223" s="111">
        <v>2018</v>
      </c>
      <c r="I223" s="112">
        <v>2019</v>
      </c>
      <c r="J223" s="462">
        <f t="shared" si="34"/>
        <v>3162</v>
      </c>
      <c r="K223" s="463">
        <v>0</v>
      </c>
      <c r="L223" s="464">
        <v>1330</v>
      </c>
      <c r="M223" s="465">
        <f t="shared" si="35"/>
        <v>1832</v>
      </c>
      <c r="N223" s="466">
        <v>1832</v>
      </c>
      <c r="O223" s="726">
        <v>0</v>
      </c>
      <c r="P223" s="467">
        <v>0</v>
      </c>
      <c r="Q223" s="464">
        <v>0</v>
      </c>
      <c r="R223" s="469">
        <v>0</v>
      </c>
      <c r="S223" s="467">
        <v>0</v>
      </c>
      <c r="T223" s="464">
        <v>0</v>
      </c>
      <c r="U223" s="469">
        <v>0</v>
      </c>
      <c r="V223" s="467">
        <v>0</v>
      </c>
      <c r="W223" s="464">
        <v>0</v>
      </c>
      <c r="X223" s="469">
        <v>0</v>
      </c>
      <c r="Y223" s="467">
        <v>0</v>
      </c>
      <c r="Z223" s="468">
        <v>0</v>
      </c>
      <c r="AA223" s="478">
        <v>0</v>
      </c>
      <c r="AB223" s="25"/>
      <c r="AC223" s="25"/>
      <c r="AD223" s="25"/>
      <c r="AE223" s="25"/>
      <c r="AF223" s="25"/>
      <c r="AG223" s="25"/>
      <c r="AH223" s="25"/>
      <c r="AI223" s="25"/>
      <c r="AJ223" s="25"/>
      <c r="AK223" s="25"/>
      <c r="AL223" s="25"/>
      <c r="AM223" s="25"/>
      <c r="AN223" s="25"/>
      <c r="AO223" s="25"/>
      <c r="AP223" s="25"/>
      <c r="AQ223" s="25"/>
      <c r="AR223" s="25"/>
      <c r="AS223" s="25"/>
      <c r="AT223" s="25"/>
      <c r="AU223" s="25"/>
      <c r="AV223" s="25"/>
      <c r="AW223" s="25"/>
      <c r="AX223" s="25"/>
      <c r="AY223" s="25"/>
      <c r="AZ223" s="25"/>
      <c r="BA223" s="25"/>
      <c r="BB223" s="25"/>
      <c r="BC223" s="25"/>
      <c r="BD223" s="25"/>
      <c r="BE223" s="25"/>
      <c r="BF223" s="25"/>
      <c r="BG223" s="25"/>
      <c r="BH223" s="25"/>
      <c r="BI223" s="25"/>
      <c r="BJ223" s="25"/>
      <c r="BK223" s="25"/>
      <c r="BL223" s="25"/>
      <c r="BM223" s="25"/>
      <c r="BN223" s="25"/>
      <c r="BO223" s="25"/>
      <c r="BP223" s="25"/>
      <c r="BQ223" s="25"/>
      <c r="BR223" s="25"/>
      <c r="BS223" s="25"/>
      <c r="BT223" s="25"/>
      <c r="BU223" s="25"/>
      <c r="BV223" s="25"/>
      <c r="BW223" s="25"/>
      <c r="BX223" s="25"/>
      <c r="BY223" s="25"/>
      <c r="BZ223" s="25"/>
      <c r="CA223" s="25"/>
      <c r="CB223" s="25"/>
      <c r="CC223" s="25"/>
      <c r="CD223" s="25"/>
      <c r="CE223" s="25"/>
      <c r="CF223" s="25"/>
      <c r="CG223" s="25"/>
      <c r="CH223" s="25"/>
      <c r="CI223" s="25"/>
      <c r="CJ223" s="25"/>
      <c r="CK223" s="25"/>
      <c r="CL223" s="25"/>
      <c r="CM223" s="25"/>
      <c r="CN223" s="25"/>
      <c r="CO223" s="25"/>
      <c r="CP223" s="25"/>
      <c r="CQ223" s="25"/>
      <c r="CR223" s="25"/>
      <c r="CS223" s="25"/>
      <c r="CT223" s="25"/>
      <c r="CU223" s="25"/>
      <c r="CV223" s="25"/>
      <c r="CW223" s="25"/>
      <c r="CX223" s="25"/>
      <c r="CY223" s="25"/>
      <c r="CZ223" s="25"/>
      <c r="DA223" s="25"/>
      <c r="DB223" s="25"/>
      <c r="DC223" s="25"/>
      <c r="DD223" s="25"/>
      <c r="DE223" s="25"/>
      <c r="DF223" s="25"/>
      <c r="DG223" s="25"/>
      <c r="DH223" s="25"/>
      <c r="DI223" s="25"/>
      <c r="DJ223" s="25"/>
      <c r="DK223" s="25"/>
      <c r="DL223" s="25"/>
      <c r="DM223" s="25"/>
      <c r="DN223" s="25"/>
      <c r="DO223" s="25"/>
      <c r="DP223" s="25"/>
      <c r="DQ223" s="25"/>
    </row>
    <row r="224" spans="1:121" s="125" customFormat="1" ht="24.95" customHeight="1" x14ac:dyDescent="0.25">
      <c r="A224" s="881">
        <v>230</v>
      </c>
      <c r="B224" s="666">
        <v>3631</v>
      </c>
      <c r="C224" s="667">
        <v>6121</v>
      </c>
      <c r="D224" s="1230">
        <v>4343</v>
      </c>
      <c r="E224" s="975" t="s">
        <v>362</v>
      </c>
      <c r="F224" s="967" t="s">
        <v>142</v>
      </c>
      <c r="G224" s="111">
        <v>400</v>
      </c>
      <c r="H224" s="111">
        <v>2018</v>
      </c>
      <c r="I224" s="112">
        <v>2019</v>
      </c>
      <c r="J224" s="462">
        <f t="shared" si="34"/>
        <v>808</v>
      </c>
      <c r="K224" s="463">
        <v>0</v>
      </c>
      <c r="L224" s="464">
        <v>104</v>
      </c>
      <c r="M224" s="465">
        <f t="shared" si="35"/>
        <v>704</v>
      </c>
      <c r="N224" s="466">
        <v>704</v>
      </c>
      <c r="O224" s="726">
        <v>0</v>
      </c>
      <c r="P224" s="467">
        <v>0</v>
      </c>
      <c r="Q224" s="464">
        <v>0</v>
      </c>
      <c r="R224" s="469">
        <v>0</v>
      </c>
      <c r="S224" s="467">
        <v>0</v>
      </c>
      <c r="T224" s="464">
        <v>0</v>
      </c>
      <c r="U224" s="469">
        <v>0</v>
      </c>
      <c r="V224" s="467">
        <v>0</v>
      </c>
      <c r="W224" s="464">
        <v>0</v>
      </c>
      <c r="X224" s="469">
        <v>0</v>
      </c>
      <c r="Y224" s="467">
        <v>0</v>
      </c>
      <c r="Z224" s="468">
        <v>0</v>
      </c>
      <c r="AA224" s="478">
        <v>0</v>
      </c>
      <c r="AB224" s="25"/>
      <c r="AC224" s="25"/>
      <c r="AD224" s="25"/>
      <c r="AE224" s="25"/>
      <c r="AF224" s="25"/>
      <c r="AG224" s="25"/>
      <c r="AH224" s="25"/>
      <c r="AI224" s="25"/>
      <c r="AJ224" s="25"/>
      <c r="AK224" s="25"/>
      <c r="AL224" s="25"/>
      <c r="AM224" s="25"/>
      <c r="AN224" s="25"/>
      <c r="AO224" s="25"/>
      <c r="AP224" s="25"/>
      <c r="AQ224" s="25"/>
      <c r="AR224" s="25"/>
      <c r="AS224" s="25"/>
      <c r="AT224" s="25"/>
      <c r="AU224" s="25"/>
      <c r="AV224" s="25"/>
      <c r="AW224" s="25"/>
      <c r="AX224" s="25"/>
      <c r="AY224" s="25"/>
      <c r="AZ224" s="25"/>
      <c r="BA224" s="25"/>
      <c r="BB224" s="25"/>
      <c r="BC224" s="25"/>
      <c r="BD224" s="25"/>
      <c r="BE224" s="25"/>
      <c r="BF224" s="25"/>
      <c r="BG224" s="25"/>
      <c r="BH224" s="25"/>
      <c r="BI224" s="25"/>
      <c r="BJ224" s="25"/>
      <c r="BK224" s="25"/>
      <c r="BL224" s="25"/>
      <c r="BM224" s="25"/>
      <c r="BN224" s="25"/>
      <c r="BO224" s="25"/>
      <c r="BP224" s="25"/>
      <c r="BQ224" s="25"/>
      <c r="BR224" s="25"/>
      <c r="BS224" s="25"/>
      <c r="BT224" s="25"/>
      <c r="BU224" s="25"/>
      <c r="BV224" s="25"/>
      <c r="BW224" s="25"/>
      <c r="BX224" s="25"/>
      <c r="BY224" s="25"/>
      <c r="BZ224" s="25"/>
      <c r="CA224" s="25"/>
      <c r="CB224" s="25"/>
      <c r="CC224" s="25"/>
      <c r="CD224" s="25"/>
      <c r="CE224" s="25"/>
      <c r="CF224" s="25"/>
      <c r="CG224" s="25"/>
      <c r="CH224" s="25"/>
      <c r="CI224" s="25"/>
      <c r="CJ224" s="25"/>
      <c r="CK224" s="25"/>
      <c r="CL224" s="25"/>
      <c r="CM224" s="25"/>
      <c r="CN224" s="25"/>
      <c r="CO224" s="25"/>
      <c r="CP224" s="25"/>
      <c r="CQ224" s="25"/>
      <c r="CR224" s="25"/>
      <c r="CS224" s="25"/>
      <c r="CT224" s="25"/>
      <c r="CU224" s="25"/>
      <c r="CV224" s="25"/>
      <c r="CW224" s="25"/>
      <c r="CX224" s="25"/>
      <c r="CY224" s="25"/>
      <c r="CZ224" s="25"/>
      <c r="DA224" s="25"/>
      <c r="DB224" s="25"/>
      <c r="DC224" s="25"/>
      <c r="DD224" s="25"/>
      <c r="DE224" s="25"/>
      <c r="DF224" s="25"/>
      <c r="DG224" s="25"/>
      <c r="DH224" s="25"/>
      <c r="DI224" s="25"/>
      <c r="DJ224" s="25"/>
      <c r="DK224" s="25"/>
      <c r="DL224" s="25"/>
      <c r="DM224" s="25"/>
      <c r="DN224" s="25"/>
      <c r="DO224" s="25"/>
      <c r="DP224" s="25"/>
      <c r="DQ224" s="25"/>
    </row>
    <row r="225" spans="1:122" s="125" customFormat="1" ht="24.95" customHeight="1" x14ac:dyDescent="0.25">
      <c r="A225" s="881">
        <v>230</v>
      </c>
      <c r="B225" s="666">
        <v>3631</v>
      </c>
      <c r="C225" s="667">
        <v>6121</v>
      </c>
      <c r="D225" s="1229">
        <v>4344</v>
      </c>
      <c r="E225" s="603" t="s">
        <v>361</v>
      </c>
      <c r="F225" s="967" t="s">
        <v>142</v>
      </c>
      <c r="G225" s="111">
        <v>400</v>
      </c>
      <c r="H225" s="111">
        <v>2018</v>
      </c>
      <c r="I225" s="112">
        <v>2019</v>
      </c>
      <c r="J225" s="462">
        <f t="shared" si="34"/>
        <v>254</v>
      </c>
      <c r="K225" s="463">
        <v>0</v>
      </c>
      <c r="L225" s="464">
        <v>51</v>
      </c>
      <c r="M225" s="465">
        <f t="shared" si="35"/>
        <v>203</v>
      </c>
      <c r="N225" s="466">
        <v>203</v>
      </c>
      <c r="O225" s="726">
        <v>0</v>
      </c>
      <c r="P225" s="467">
        <v>0</v>
      </c>
      <c r="Q225" s="464">
        <v>0</v>
      </c>
      <c r="R225" s="469">
        <v>0</v>
      </c>
      <c r="S225" s="467">
        <v>0</v>
      </c>
      <c r="T225" s="464">
        <v>0</v>
      </c>
      <c r="U225" s="469">
        <v>0</v>
      </c>
      <c r="V225" s="467">
        <v>0</v>
      </c>
      <c r="W225" s="464">
        <v>0</v>
      </c>
      <c r="X225" s="469">
        <v>0</v>
      </c>
      <c r="Y225" s="467">
        <v>0</v>
      </c>
      <c r="Z225" s="468">
        <v>0</v>
      </c>
      <c r="AA225" s="478">
        <v>0</v>
      </c>
      <c r="AB225" s="25"/>
      <c r="AC225" s="25"/>
      <c r="AD225" s="25"/>
      <c r="AE225" s="25"/>
      <c r="AF225" s="25"/>
      <c r="AG225" s="25"/>
      <c r="AH225" s="25"/>
      <c r="AI225" s="25"/>
      <c r="AJ225" s="25"/>
      <c r="AK225" s="25"/>
      <c r="AL225" s="25"/>
      <c r="AM225" s="25"/>
      <c r="AN225" s="25"/>
      <c r="AO225" s="25"/>
      <c r="AP225" s="25"/>
      <c r="AQ225" s="25"/>
      <c r="AR225" s="25"/>
      <c r="AS225" s="25"/>
      <c r="AT225" s="25"/>
      <c r="AU225" s="25"/>
      <c r="AV225" s="25"/>
      <c r="AW225" s="25"/>
      <c r="AX225" s="25"/>
      <c r="AY225" s="25"/>
      <c r="AZ225" s="25"/>
      <c r="BA225" s="25"/>
      <c r="BB225" s="25"/>
      <c r="BC225" s="25"/>
      <c r="BD225" s="25"/>
      <c r="BE225" s="25"/>
      <c r="BF225" s="25"/>
      <c r="BG225" s="25"/>
      <c r="BH225" s="25"/>
      <c r="BI225" s="25"/>
      <c r="BJ225" s="25"/>
      <c r="BK225" s="25"/>
      <c r="BL225" s="25"/>
      <c r="BM225" s="25"/>
      <c r="BN225" s="25"/>
      <c r="BO225" s="25"/>
      <c r="BP225" s="25"/>
      <c r="BQ225" s="25"/>
      <c r="BR225" s="25"/>
      <c r="BS225" s="25"/>
      <c r="BT225" s="25"/>
      <c r="BU225" s="25"/>
      <c r="BV225" s="25"/>
      <c r="BW225" s="25"/>
      <c r="BX225" s="25"/>
      <c r="BY225" s="25"/>
      <c r="BZ225" s="25"/>
      <c r="CA225" s="25"/>
      <c r="CB225" s="25"/>
      <c r="CC225" s="25"/>
      <c r="CD225" s="25"/>
      <c r="CE225" s="25"/>
      <c r="CF225" s="25"/>
      <c r="CG225" s="25"/>
      <c r="CH225" s="25"/>
      <c r="CI225" s="25"/>
      <c r="CJ225" s="25"/>
      <c r="CK225" s="25"/>
      <c r="CL225" s="25"/>
      <c r="CM225" s="25"/>
      <c r="CN225" s="25"/>
      <c r="CO225" s="25"/>
      <c r="CP225" s="25"/>
      <c r="CQ225" s="25"/>
      <c r="CR225" s="25"/>
      <c r="CS225" s="25"/>
      <c r="CT225" s="25"/>
      <c r="CU225" s="25"/>
      <c r="CV225" s="25"/>
      <c r="CW225" s="25"/>
      <c r="CX225" s="25"/>
      <c r="CY225" s="25"/>
      <c r="CZ225" s="25"/>
      <c r="DA225" s="25"/>
      <c r="DB225" s="25"/>
      <c r="DC225" s="25"/>
      <c r="DD225" s="25"/>
      <c r="DE225" s="25"/>
      <c r="DF225" s="25"/>
      <c r="DG225" s="25"/>
      <c r="DH225" s="25"/>
      <c r="DI225" s="25"/>
      <c r="DJ225" s="25"/>
      <c r="DK225" s="25"/>
      <c r="DL225" s="25"/>
      <c r="DM225" s="25"/>
      <c r="DN225" s="25"/>
      <c r="DO225" s="25"/>
      <c r="DP225" s="25"/>
      <c r="DQ225" s="25"/>
    </row>
    <row r="226" spans="1:122" s="125" customFormat="1" ht="24.95" customHeight="1" x14ac:dyDescent="0.25">
      <c r="A226" s="881">
        <v>230</v>
      </c>
      <c r="B226" s="666">
        <v>3631</v>
      </c>
      <c r="C226" s="667">
        <v>6121</v>
      </c>
      <c r="D226" s="1229">
        <v>4345</v>
      </c>
      <c r="E226" s="603" t="s">
        <v>360</v>
      </c>
      <c r="F226" s="967" t="s">
        <v>121</v>
      </c>
      <c r="G226" s="111">
        <v>400</v>
      </c>
      <c r="H226" s="111">
        <v>2018</v>
      </c>
      <c r="I226" s="112">
        <v>2019</v>
      </c>
      <c r="J226" s="462">
        <f t="shared" si="34"/>
        <v>7500</v>
      </c>
      <c r="K226" s="463">
        <v>0</v>
      </c>
      <c r="L226" s="464">
        <v>0</v>
      </c>
      <c r="M226" s="465">
        <f t="shared" si="35"/>
        <v>7500</v>
      </c>
      <c r="N226" s="466">
        <v>0</v>
      </c>
      <c r="O226" s="726">
        <v>7500</v>
      </c>
      <c r="P226" s="467">
        <v>0</v>
      </c>
      <c r="Q226" s="464">
        <v>0</v>
      </c>
      <c r="R226" s="469">
        <v>0</v>
      </c>
      <c r="S226" s="467">
        <v>0</v>
      </c>
      <c r="T226" s="464">
        <v>0</v>
      </c>
      <c r="U226" s="469">
        <v>0</v>
      </c>
      <c r="V226" s="467">
        <v>0</v>
      </c>
      <c r="W226" s="464">
        <v>0</v>
      </c>
      <c r="X226" s="469">
        <v>0</v>
      </c>
      <c r="Y226" s="467">
        <v>0</v>
      </c>
      <c r="Z226" s="468">
        <v>0</v>
      </c>
      <c r="AA226" s="478">
        <v>0</v>
      </c>
      <c r="AB226" s="25"/>
      <c r="AC226" s="25"/>
      <c r="AD226" s="25"/>
      <c r="AE226" s="25"/>
      <c r="AF226" s="25"/>
      <c r="AG226" s="25"/>
      <c r="AH226" s="25"/>
      <c r="AI226" s="25"/>
      <c r="AJ226" s="25"/>
      <c r="AK226" s="25"/>
      <c r="AL226" s="25"/>
      <c r="AM226" s="25"/>
      <c r="AN226" s="25"/>
      <c r="AO226" s="25"/>
      <c r="AP226" s="25"/>
      <c r="AQ226" s="25"/>
      <c r="AR226" s="25"/>
      <c r="AS226" s="25"/>
      <c r="AT226" s="25"/>
      <c r="AU226" s="25"/>
      <c r="AV226" s="25"/>
      <c r="AW226" s="25"/>
      <c r="AX226" s="25"/>
      <c r="AY226" s="25"/>
      <c r="AZ226" s="25"/>
      <c r="BA226" s="25"/>
      <c r="BB226" s="25"/>
      <c r="BC226" s="25"/>
      <c r="BD226" s="25"/>
      <c r="BE226" s="25"/>
      <c r="BF226" s="25"/>
      <c r="BG226" s="25"/>
      <c r="BH226" s="25"/>
      <c r="BI226" s="25"/>
      <c r="BJ226" s="25"/>
      <c r="BK226" s="25"/>
      <c r="BL226" s="25"/>
      <c r="BM226" s="25"/>
      <c r="BN226" s="25"/>
      <c r="BO226" s="25"/>
      <c r="BP226" s="25"/>
      <c r="BQ226" s="25"/>
      <c r="BR226" s="25"/>
      <c r="BS226" s="25"/>
      <c r="BT226" s="25"/>
      <c r="BU226" s="25"/>
      <c r="BV226" s="25"/>
      <c r="BW226" s="25"/>
      <c r="BX226" s="25"/>
      <c r="BY226" s="25"/>
      <c r="BZ226" s="25"/>
      <c r="CA226" s="25"/>
      <c r="CB226" s="25"/>
      <c r="CC226" s="25"/>
      <c r="CD226" s="25"/>
      <c r="CE226" s="25"/>
      <c r="CF226" s="25"/>
      <c r="CG226" s="25"/>
      <c r="CH226" s="25"/>
      <c r="CI226" s="25"/>
      <c r="CJ226" s="25"/>
      <c r="CK226" s="25"/>
      <c r="CL226" s="25"/>
      <c r="CM226" s="25"/>
      <c r="CN226" s="25"/>
      <c r="CO226" s="25"/>
      <c r="CP226" s="25"/>
      <c r="CQ226" s="25"/>
      <c r="CR226" s="25"/>
      <c r="CS226" s="25"/>
      <c r="CT226" s="25"/>
      <c r="CU226" s="25"/>
      <c r="CV226" s="25"/>
      <c r="CW226" s="25"/>
      <c r="CX226" s="25"/>
      <c r="CY226" s="25"/>
      <c r="CZ226" s="25"/>
      <c r="DA226" s="25"/>
      <c r="DB226" s="25"/>
      <c r="DC226" s="25"/>
      <c r="DD226" s="25"/>
      <c r="DE226" s="25"/>
      <c r="DF226" s="25"/>
      <c r="DG226" s="25"/>
      <c r="DH226" s="25"/>
      <c r="DI226" s="25"/>
      <c r="DJ226" s="25"/>
      <c r="DK226" s="25"/>
      <c r="DL226" s="25"/>
      <c r="DM226" s="25"/>
      <c r="DN226" s="25"/>
      <c r="DO226" s="25"/>
      <c r="DP226" s="25"/>
      <c r="DQ226" s="25"/>
    </row>
    <row r="227" spans="1:122" s="125" customFormat="1" ht="24.95" customHeight="1" x14ac:dyDescent="0.25">
      <c r="A227" s="881">
        <v>230</v>
      </c>
      <c r="B227" s="666">
        <v>3631</v>
      </c>
      <c r="C227" s="667">
        <v>6121</v>
      </c>
      <c r="D227" s="1229">
        <v>4346</v>
      </c>
      <c r="E227" s="603" t="s">
        <v>359</v>
      </c>
      <c r="F227" s="967" t="s">
        <v>121</v>
      </c>
      <c r="G227" s="111">
        <v>400</v>
      </c>
      <c r="H227" s="111">
        <v>2018</v>
      </c>
      <c r="I227" s="112">
        <v>2019</v>
      </c>
      <c r="J227" s="462">
        <f t="shared" ref="J227:J258" si="36">K227+L227+M227+SUM(R227:AA227)</f>
        <v>7500</v>
      </c>
      <c r="K227" s="463">
        <v>0</v>
      </c>
      <c r="L227" s="464">
        <v>0</v>
      </c>
      <c r="M227" s="465">
        <f t="shared" si="35"/>
        <v>7500</v>
      </c>
      <c r="N227" s="466">
        <v>0</v>
      </c>
      <c r="O227" s="726">
        <v>7500</v>
      </c>
      <c r="P227" s="467">
        <v>0</v>
      </c>
      <c r="Q227" s="464">
        <v>0</v>
      </c>
      <c r="R227" s="469">
        <v>0</v>
      </c>
      <c r="S227" s="467">
        <v>0</v>
      </c>
      <c r="T227" s="464">
        <v>0</v>
      </c>
      <c r="U227" s="469">
        <v>0</v>
      </c>
      <c r="V227" s="467">
        <v>0</v>
      </c>
      <c r="W227" s="464">
        <v>0</v>
      </c>
      <c r="X227" s="469">
        <v>0</v>
      </c>
      <c r="Y227" s="467">
        <v>0</v>
      </c>
      <c r="Z227" s="468">
        <v>0</v>
      </c>
      <c r="AA227" s="478">
        <v>0</v>
      </c>
      <c r="AB227" s="25"/>
      <c r="AC227" s="25"/>
      <c r="AD227" s="25"/>
      <c r="AE227" s="25"/>
      <c r="AF227" s="25"/>
      <c r="AG227" s="25"/>
      <c r="AH227" s="25"/>
      <c r="AI227" s="25"/>
      <c r="AJ227" s="25"/>
      <c r="AK227" s="25"/>
      <c r="AL227" s="25"/>
      <c r="AM227" s="25"/>
      <c r="AN227" s="25"/>
      <c r="AO227" s="25"/>
      <c r="AP227" s="25"/>
      <c r="AQ227" s="25"/>
      <c r="AR227" s="25"/>
      <c r="AS227" s="25"/>
      <c r="AT227" s="25"/>
      <c r="AU227" s="25"/>
      <c r="AV227" s="25"/>
      <c r="AW227" s="25"/>
      <c r="AX227" s="25"/>
      <c r="AY227" s="25"/>
      <c r="AZ227" s="25"/>
      <c r="BA227" s="25"/>
      <c r="BB227" s="25"/>
      <c r="BC227" s="25"/>
      <c r="BD227" s="25"/>
      <c r="BE227" s="25"/>
      <c r="BF227" s="25"/>
      <c r="BG227" s="25"/>
      <c r="BH227" s="25"/>
      <c r="BI227" s="25"/>
      <c r="BJ227" s="25"/>
      <c r="BK227" s="25"/>
      <c r="BL227" s="25"/>
      <c r="BM227" s="25"/>
      <c r="BN227" s="25"/>
      <c r="BO227" s="25"/>
      <c r="BP227" s="25"/>
      <c r="BQ227" s="25"/>
      <c r="BR227" s="25"/>
      <c r="BS227" s="25"/>
      <c r="BT227" s="25"/>
      <c r="BU227" s="25"/>
      <c r="BV227" s="25"/>
      <c r="BW227" s="25"/>
      <c r="BX227" s="25"/>
      <c r="BY227" s="25"/>
      <c r="BZ227" s="25"/>
      <c r="CA227" s="25"/>
      <c r="CB227" s="25"/>
      <c r="CC227" s="25"/>
      <c r="CD227" s="25"/>
      <c r="CE227" s="25"/>
      <c r="CF227" s="25"/>
      <c r="CG227" s="25"/>
      <c r="CH227" s="25"/>
      <c r="CI227" s="25"/>
      <c r="CJ227" s="25"/>
      <c r="CK227" s="25"/>
      <c r="CL227" s="25"/>
      <c r="CM227" s="25"/>
      <c r="CN227" s="25"/>
      <c r="CO227" s="25"/>
      <c r="CP227" s="25"/>
      <c r="CQ227" s="25"/>
      <c r="CR227" s="25"/>
      <c r="CS227" s="25"/>
      <c r="CT227" s="25"/>
      <c r="CU227" s="25"/>
      <c r="CV227" s="25"/>
      <c r="CW227" s="25"/>
      <c r="CX227" s="25"/>
      <c r="CY227" s="25"/>
      <c r="CZ227" s="25"/>
      <c r="DA227" s="25"/>
      <c r="DB227" s="25"/>
      <c r="DC227" s="25"/>
      <c r="DD227" s="25"/>
      <c r="DE227" s="25"/>
      <c r="DF227" s="25"/>
      <c r="DG227" s="25"/>
      <c r="DH227" s="25"/>
      <c r="DI227" s="25"/>
      <c r="DJ227" s="25"/>
      <c r="DK227" s="25"/>
      <c r="DL227" s="25"/>
      <c r="DM227" s="25"/>
      <c r="DN227" s="25"/>
      <c r="DO227" s="25"/>
      <c r="DP227" s="25"/>
      <c r="DQ227" s="25"/>
    </row>
    <row r="228" spans="1:122" s="973" customFormat="1" ht="24.95" customHeight="1" x14ac:dyDescent="0.25">
      <c r="A228" s="881">
        <v>230</v>
      </c>
      <c r="B228" s="666">
        <v>3631</v>
      </c>
      <c r="C228" s="667">
        <v>6121</v>
      </c>
      <c r="D228" s="1229">
        <v>4347</v>
      </c>
      <c r="E228" s="603" t="s">
        <v>358</v>
      </c>
      <c r="F228" s="967" t="s">
        <v>127</v>
      </c>
      <c r="G228" s="111">
        <v>400</v>
      </c>
      <c r="H228" s="111">
        <v>2018</v>
      </c>
      <c r="I228" s="112">
        <v>2019</v>
      </c>
      <c r="J228" s="462">
        <f t="shared" si="36"/>
        <v>6000</v>
      </c>
      <c r="K228" s="463">
        <v>0</v>
      </c>
      <c r="L228" s="464">
        <v>0</v>
      </c>
      <c r="M228" s="465">
        <f t="shared" ref="M228:M259" si="37">N228+O228+P228+Q228</f>
        <v>6000</v>
      </c>
      <c r="N228" s="466">
        <v>0</v>
      </c>
      <c r="O228" s="726">
        <v>6000</v>
      </c>
      <c r="P228" s="467">
        <v>0</v>
      </c>
      <c r="Q228" s="464">
        <v>0</v>
      </c>
      <c r="R228" s="469">
        <v>0</v>
      </c>
      <c r="S228" s="467">
        <v>0</v>
      </c>
      <c r="T228" s="464">
        <v>0</v>
      </c>
      <c r="U228" s="469">
        <v>0</v>
      </c>
      <c r="V228" s="467">
        <v>0</v>
      </c>
      <c r="W228" s="464">
        <v>0</v>
      </c>
      <c r="X228" s="469">
        <v>0</v>
      </c>
      <c r="Y228" s="467">
        <v>0</v>
      </c>
      <c r="Z228" s="468">
        <v>0</v>
      </c>
      <c r="AA228" s="478">
        <v>0</v>
      </c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  <c r="AQ228" s="32"/>
      <c r="AR228" s="32"/>
      <c r="AS228" s="32"/>
      <c r="AT228" s="32"/>
      <c r="AU228" s="32"/>
      <c r="AV228" s="32"/>
      <c r="AW228" s="974"/>
      <c r="AX228" s="974"/>
      <c r="AY228" s="974"/>
      <c r="AZ228" s="974"/>
      <c r="BA228" s="974"/>
      <c r="BB228" s="974"/>
      <c r="BC228" s="974"/>
      <c r="BD228" s="974"/>
      <c r="BE228" s="974"/>
      <c r="BF228" s="974"/>
      <c r="BG228" s="974"/>
      <c r="BH228" s="974"/>
      <c r="BI228" s="974"/>
      <c r="BJ228" s="974"/>
      <c r="BK228" s="974"/>
      <c r="BL228" s="974"/>
      <c r="BM228" s="974"/>
      <c r="BN228" s="974"/>
      <c r="BO228" s="974"/>
      <c r="BP228" s="974"/>
      <c r="BQ228" s="974"/>
      <c r="BR228" s="974"/>
      <c r="BS228" s="974"/>
      <c r="BT228" s="974"/>
      <c r="BU228" s="974"/>
      <c r="BV228" s="974"/>
      <c r="BW228" s="974"/>
      <c r="BX228" s="974"/>
      <c r="BY228" s="974"/>
      <c r="BZ228" s="974"/>
      <c r="CA228" s="974"/>
      <c r="CB228" s="974"/>
      <c r="CC228" s="974"/>
      <c r="CD228" s="974"/>
      <c r="CE228" s="974"/>
      <c r="CF228" s="974"/>
      <c r="CG228" s="974"/>
      <c r="CH228" s="974"/>
      <c r="CI228" s="974"/>
      <c r="CJ228" s="974"/>
      <c r="CK228" s="974"/>
      <c r="CL228" s="974"/>
      <c r="CM228" s="974"/>
      <c r="CN228" s="974"/>
      <c r="CO228" s="974"/>
      <c r="CP228" s="974"/>
      <c r="CQ228" s="974"/>
      <c r="CR228" s="974"/>
      <c r="CS228" s="974"/>
      <c r="CT228" s="974"/>
      <c r="CU228" s="974"/>
      <c r="CV228" s="974"/>
      <c r="CW228" s="974"/>
      <c r="CX228" s="974"/>
      <c r="CY228" s="974"/>
      <c r="CZ228" s="974"/>
      <c r="DA228" s="974"/>
      <c r="DB228" s="974"/>
      <c r="DC228" s="974"/>
      <c r="DD228" s="974"/>
      <c r="DE228" s="974"/>
      <c r="DF228" s="974"/>
      <c r="DG228" s="974"/>
      <c r="DH228" s="974"/>
      <c r="DI228" s="974"/>
      <c r="DJ228" s="974"/>
      <c r="DK228" s="974"/>
      <c r="DL228" s="974"/>
      <c r="DM228" s="974"/>
      <c r="DN228" s="974"/>
      <c r="DO228" s="974"/>
      <c r="DP228" s="974"/>
      <c r="DQ228" s="974"/>
    </row>
    <row r="229" spans="1:122" s="973" customFormat="1" ht="24.95" customHeight="1" x14ac:dyDescent="0.25">
      <c r="A229" s="881">
        <v>230</v>
      </c>
      <c r="B229" s="666">
        <v>3631</v>
      </c>
      <c r="C229" s="667">
        <v>6121</v>
      </c>
      <c r="D229" s="1229">
        <v>4348</v>
      </c>
      <c r="E229" s="603" t="s">
        <v>357</v>
      </c>
      <c r="F229" s="967" t="s">
        <v>157</v>
      </c>
      <c r="G229" s="111">
        <v>400</v>
      </c>
      <c r="H229" s="111">
        <v>2018</v>
      </c>
      <c r="I229" s="112">
        <v>2019</v>
      </c>
      <c r="J229" s="462">
        <f t="shared" si="36"/>
        <v>500</v>
      </c>
      <c r="K229" s="463">
        <v>0</v>
      </c>
      <c r="L229" s="464">
        <v>0</v>
      </c>
      <c r="M229" s="465">
        <f t="shared" si="37"/>
        <v>500</v>
      </c>
      <c r="N229" s="466">
        <v>0</v>
      </c>
      <c r="O229" s="726">
        <v>500</v>
      </c>
      <c r="P229" s="467">
        <v>0</v>
      </c>
      <c r="Q229" s="464">
        <v>0</v>
      </c>
      <c r="R229" s="469">
        <v>0</v>
      </c>
      <c r="S229" s="467">
        <v>0</v>
      </c>
      <c r="T229" s="464">
        <v>0</v>
      </c>
      <c r="U229" s="469">
        <v>0</v>
      </c>
      <c r="V229" s="467">
        <v>0</v>
      </c>
      <c r="W229" s="464">
        <v>0</v>
      </c>
      <c r="X229" s="469">
        <v>0</v>
      </c>
      <c r="Y229" s="467">
        <v>0</v>
      </c>
      <c r="Z229" s="468">
        <v>0</v>
      </c>
      <c r="AA229" s="478">
        <v>0</v>
      </c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  <c r="AQ229" s="32"/>
      <c r="AR229" s="32"/>
      <c r="AS229" s="32"/>
      <c r="AT229" s="32"/>
      <c r="AU229" s="32"/>
      <c r="AV229" s="32"/>
      <c r="AW229" s="974"/>
      <c r="AX229" s="974"/>
      <c r="AY229" s="974"/>
      <c r="AZ229" s="974"/>
      <c r="BA229" s="974"/>
      <c r="BB229" s="974"/>
      <c r="BC229" s="974"/>
      <c r="BD229" s="974"/>
      <c r="BE229" s="974"/>
      <c r="BF229" s="974"/>
      <c r="BG229" s="974"/>
      <c r="BH229" s="974"/>
      <c r="BI229" s="974"/>
      <c r="BJ229" s="974"/>
      <c r="BK229" s="974"/>
      <c r="BL229" s="974"/>
      <c r="BM229" s="974"/>
      <c r="BN229" s="974"/>
      <c r="BO229" s="974"/>
      <c r="BP229" s="974"/>
      <c r="BQ229" s="974"/>
      <c r="BR229" s="974"/>
      <c r="BS229" s="974"/>
      <c r="BT229" s="974"/>
      <c r="BU229" s="974"/>
      <c r="BV229" s="974"/>
      <c r="BW229" s="974"/>
      <c r="BX229" s="974"/>
      <c r="BY229" s="974"/>
      <c r="BZ229" s="974"/>
      <c r="CA229" s="974"/>
      <c r="CB229" s="974"/>
      <c r="CC229" s="974"/>
      <c r="CD229" s="974"/>
      <c r="CE229" s="974"/>
      <c r="CF229" s="974"/>
      <c r="CG229" s="974"/>
      <c r="CH229" s="974"/>
      <c r="CI229" s="974"/>
      <c r="CJ229" s="974"/>
      <c r="CK229" s="974"/>
      <c r="CL229" s="974"/>
      <c r="CM229" s="974"/>
      <c r="CN229" s="974"/>
      <c r="CO229" s="974"/>
      <c r="CP229" s="974"/>
      <c r="CQ229" s="974"/>
      <c r="CR229" s="974"/>
      <c r="CS229" s="974"/>
      <c r="CT229" s="974"/>
      <c r="CU229" s="974"/>
      <c r="CV229" s="974"/>
      <c r="CW229" s="974"/>
      <c r="CX229" s="974"/>
      <c r="CY229" s="974"/>
      <c r="CZ229" s="974"/>
      <c r="DA229" s="974"/>
      <c r="DB229" s="974"/>
      <c r="DC229" s="974"/>
      <c r="DD229" s="974"/>
      <c r="DE229" s="974"/>
      <c r="DF229" s="974"/>
      <c r="DG229" s="974"/>
      <c r="DH229" s="974"/>
      <c r="DI229" s="974"/>
      <c r="DJ229" s="974"/>
      <c r="DK229" s="974"/>
      <c r="DL229" s="974"/>
      <c r="DM229" s="974"/>
      <c r="DN229" s="974"/>
      <c r="DO229" s="974"/>
      <c r="DP229" s="974"/>
      <c r="DQ229" s="974"/>
    </row>
    <row r="230" spans="1:122" s="39" customFormat="1" ht="24.95" customHeight="1" x14ac:dyDescent="0.25">
      <c r="A230" s="881">
        <v>230</v>
      </c>
      <c r="B230" s="666">
        <v>3631</v>
      </c>
      <c r="C230" s="667">
        <v>6121</v>
      </c>
      <c r="D230" s="1229">
        <v>4349</v>
      </c>
      <c r="E230" s="603" t="s">
        <v>356</v>
      </c>
      <c r="F230" s="967" t="s">
        <v>341</v>
      </c>
      <c r="G230" s="111">
        <v>400</v>
      </c>
      <c r="H230" s="111">
        <v>2018</v>
      </c>
      <c r="I230" s="112">
        <v>2019</v>
      </c>
      <c r="J230" s="462">
        <f t="shared" si="36"/>
        <v>4420</v>
      </c>
      <c r="K230" s="463">
        <v>0</v>
      </c>
      <c r="L230" s="464">
        <v>0</v>
      </c>
      <c r="M230" s="465">
        <f t="shared" si="37"/>
        <v>2240</v>
      </c>
      <c r="N230" s="466">
        <v>1740</v>
      </c>
      <c r="O230" s="726">
        <v>500</v>
      </c>
      <c r="P230" s="467">
        <v>0</v>
      </c>
      <c r="Q230" s="464">
        <v>0</v>
      </c>
      <c r="R230" s="469">
        <v>2180</v>
      </c>
      <c r="S230" s="467">
        <v>0</v>
      </c>
      <c r="T230" s="464">
        <v>0</v>
      </c>
      <c r="U230" s="469">
        <v>0</v>
      </c>
      <c r="V230" s="467">
        <v>0</v>
      </c>
      <c r="W230" s="464">
        <v>0</v>
      </c>
      <c r="X230" s="469">
        <v>0</v>
      </c>
      <c r="Y230" s="467">
        <v>0</v>
      </c>
      <c r="Z230" s="468">
        <v>0</v>
      </c>
      <c r="AA230" s="478">
        <v>0</v>
      </c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  <c r="AQ230" s="32"/>
      <c r="AR230" s="32"/>
      <c r="AS230" s="32"/>
      <c r="AT230" s="32"/>
      <c r="AU230" s="32"/>
      <c r="AV230" s="32"/>
      <c r="AW230" s="25"/>
      <c r="AX230" s="25"/>
      <c r="AY230" s="25"/>
      <c r="AZ230" s="25"/>
      <c r="BA230" s="25"/>
      <c r="BB230" s="25"/>
      <c r="BC230" s="25"/>
      <c r="BD230" s="25"/>
      <c r="BE230" s="25"/>
      <c r="BF230" s="25"/>
      <c r="BG230" s="25"/>
      <c r="BH230" s="25"/>
      <c r="BI230" s="25"/>
      <c r="BJ230" s="25"/>
      <c r="BK230" s="25"/>
      <c r="BL230" s="25"/>
      <c r="BM230" s="25"/>
      <c r="BN230" s="25"/>
      <c r="BO230" s="25"/>
      <c r="BP230" s="25"/>
      <c r="BQ230" s="25"/>
      <c r="BR230" s="25"/>
      <c r="BS230" s="25"/>
      <c r="BT230" s="25"/>
      <c r="BU230" s="25"/>
      <c r="BV230" s="25"/>
      <c r="BW230" s="25"/>
      <c r="BX230" s="25"/>
      <c r="BY230" s="25"/>
      <c r="BZ230" s="25"/>
      <c r="CA230" s="25"/>
      <c r="CB230" s="25"/>
      <c r="CC230" s="25"/>
      <c r="CD230" s="25"/>
      <c r="CE230" s="25"/>
      <c r="CF230" s="25"/>
      <c r="CG230" s="25"/>
      <c r="CH230" s="25"/>
      <c r="CI230" s="25"/>
      <c r="CJ230" s="25"/>
      <c r="CK230" s="25"/>
      <c r="CL230" s="25"/>
      <c r="CM230" s="25"/>
      <c r="CN230" s="25"/>
      <c r="CO230" s="25"/>
      <c r="CP230" s="25"/>
      <c r="CQ230" s="25"/>
      <c r="CR230" s="25"/>
      <c r="CS230" s="25"/>
      <c r="CT230" s="25"/>
      <c r="CU230" s="25"/>
      <c r="CV230" s="25"/>
      <c r="CW230" s="25"/>
      <c r="CX230" s="25"/>
      <c r="CY230" s="25"/>
      <c r="CZ230" s="25"/>
      <c r="DA230" s="25"/>
      <c r="DB230" s="25"/>
      <c r="DC230" s="25"/>
      <c r="DD230" s="25"/>
      <c r="DE230" s="25"/>
      <c r="DF230" s="25"/>
      <c r="DG230" s="25"/>
      <c r="DH230" s="25"/>
      <c r="DI230" s="25"/>
      <c r="DJ230" s="25"/>
      <c r="DK230" s="25"/>
      <c r="DL230" s="25"/>
      <c r="DM230" s="25"/>
      <c r="DN230" s="25"/>
      <c r="DO230" s="25"/>
      <c r="DP230" s="25"/>
      <c r="DQ230" s="25"/>
      <c r="DR230" s="1178"/>
    </row>
    <row r="231" spans="1:122" s="39" customFormat="1" ht="24.95" customHeight="1" x14ac:dyDescent="0.25">
      <c r="A231" s="881">
        <v>230</v>
      </c>
      <c r="B231" s="666">
        <v>3631</v>
      </c>
      <c r="C231" s="667">
        <v>6121</v>
      </c>
      <c r="D231" s="1229"/>
      <c r="E231" s="603" t="s">
        <v>355</v>
      </c>
      <c r="F231" s="967" t="s">
        <v>117</v>
      </c>
      <c r="G231" s="111">
        <v>400</v>
      </c>
      <c r="H231" s="111">
        <v>2018</v>
      </c>
      <c r="I231" s="112">
        <v>2019</v>
      </c>
      <c r="J231" s="462">
        <f t="shared" si="36"/>
        <v>220</v>
      </c>
      <c r="K231" s="463">
        <v>0</v>
      </c>
      <c r="L231" s="464">
        <v>0</v>
      </c>
      <c r="M231" s="465">
        <f t="shared" si="37"/>
        <v>0</v>
      </c>
      <c r="N231" s="466">
        <v>0</v>
      </c>
      <c r="O231" s="726">
        <v>0</v>
      </c>
      <c r="P231" s="467">
        <v>0</v>
      </c>
      <c r="Q231" s="464">
        <v>0</v>
      </c>
      <c r="R231" s="469">
        <v>220</v>
      </c>
      <c r="S231" s="467">
        <v>0</v>
      </c>
      <c r="T231" s="464">
        <v>0</v>
      </c>
      <c r="U231" s="469">
        <v>0</v>
      </c>
      <c r="V231" s="467">
        <v>0</v>
      </c>
      <c r="W231" s="464">
        <v>0</v>
      </c>
      <c r="X231" s="469">
        <v>0</v>
      </c>
      <c r="Y231" s="467">
        <v>0</v>
      </c>
      <c r="Z231" s="468">
        <v>0</v>
      </c>
      <c r="AA231" s="478">
        <v>0</v>
      </c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  <c r="AQ231" s="32"/>
      <c r="AR231" s="32"/>
      <c r="AS231" s="32"/>
      <c r="AT231" s="32"/>
      <c r="AU231" s="32"/>
      <c r="AV231" s="32"/>
      <c r="AW231" s="25"/>
      <c r="AX231" s="25"/>
      <c r="AY231" s="25"/>
      <c r="AZ231" s="25"/>
      <c r="BA231" s="25"/>
      <c r="BB231" s="25"/>
      <c r="BC231" s="25"/>
      <c r="BD231" s="25"/>
      <c r="BE231" s="25"/>
      <c r="BF231" s="25"/>
      <c r="BG231" s="25"/>
      <c r="BH231" s="25"/>
      <c r="BI231" s="25"/>
      <c r="BJ231" s="25"/>
      <c r="BK231" s="25"/>
      <c r="BL231" s="25"/>
      <c r="BM231" s="25"/>
      <c r="BN231" s="25"/>
      <c r="BO231" s="25"/>
      <c r="BP231" s="25"/>
      <c r="BQ231" s="25"/>
      <c r="BR231" s="25"/>
      <c r="BS231" s="25"/>
      <c r="BT231" s="25"/>
      <c r="BU231" s="25"/>
      <c r="BV231" s="25"/>
      <c r="BW231" s="25"/>
      <c r="BX231" s="25"/>
      <c r="BY231" s="25"/>
      <c r="BZ231" s="25"/>
      <c r="CA231" s="25"/>
      <c r="CB231" s="25"/>
      <c r="CC231" s="25"/>
      <c r="CD231" s="25"/>
      <c r="CE231" s="25"/>
      <c r="CF231" s="25"/>
      <c r="CG231" s="25"/>
      <c r="CH231" s="25"/>
      <c r="CI231" s="25"/>
      <c r="CJ231" s="25"/>
      <c r="CK231" s="25"/>
      <c r="CL231" s="25"/>
      <c r="CM231" s="25"/>
      <c r="CN231" s="25"/>
      <c r="CO231" s="25"/>
      <c r="CP231" s="25"/>
      <c r="CQ231" s="25"/>
      <c r="CR231" s="25"/>
      <c r="CS231" s="25"/>
      <c r="CT231" s="25"/>
      <c r="CU231" s="25"/>
      <c r="CV231" s="25"/>
      <c r="CW231" s="25"/>
      <c r="CX231" s="25"/>
      <c r="CY231" s="25"/>
      <c r="CZ231" s="25"/>
      <c r="DA231" s="25"/>
      <c r="DB231" s="25"/>
      <c r="DC231" s="25"/>
      <c r="DD231" s="25"/>
      <c r="DE231" s="25"/>
      <c r="DF231" s="25"/>
      <c r="DG231" s="25"/>
      <c r="DH231" s="25"/>
      <c r="DI231" s="25"/>
      <c r="DJ231" s="25"/>
      <c r="DK231" s="25"/>
      <c r="DL231" s="25"/>
      <c r="DM231" s="25"/>
      <c r="DN231" s="25"/>
      <c r="DO231" s="25"/>
      <c r="DP231" s="25"/>
      <c r="DQ231" s="25"/>
      <c r="DR231" s="1178"/>
    </row>
    <row r="232" spans="1:122" s="39" customFormat="1" ht="24.95" customHeight="1" x14ac:dyDescent="0.25">
      <c r="A232" s="881">
        <v>230</v>
      </c>
      <c r="B232" s="666">
        <v>3631</v>
      </c>
      <c r="C232" s="667">
        <v>6121</v>
      </c>
      <c r="D232" s="1229"/>
      <c r="E232" s="603" t="s">
        <v>354</v>
      </c>
      <c r="F232" s="967" t="s">
        <v>117</v>
      </c>
      <c r="G232" s="111">
        <v>400</v>
      </c>
      <c r="H232" s="111">
        <v>2018</v>
      </c>
      <c r="I232" s="112">
        <v>2019</v>
      </c>
      <c r="J232" s="462">
        <f t="shared" si="36"/>
        <v>700</v>
      </c>
      <c r="K232" s="463">
        <v>0</v>
      </c>
      <c r="L232" s="464">
        <v>0</v>
      </c>
      <c r="M232" s="465">
        <f t="shared" si="37"/>
        <v>0</v>
      </c>
      <c r="N232" s="466">
        <v>0</v>
      </c>
      <c r="O232" s="726">
        <v>0</v>
      </c>
      <c r="P232" s="467">
        <v>0</v>
      </c>
      <c r="Q232" s="464">
        <v>0</v>
      </c>
      <c r="R232" s="469">
        <v>700</v>
      </c>
      <c r="S232" s="467">
        <v>0</v>
      </c>
      <c r="T232" s="464">
        <v>0</v>
      </c>
      <c r="U232" s="469">
        <v>0</v>
      </c>
      <c r="V232" s="467">
        <v>0</v>
      </c>
      <c r="W232" s="464">
        <v>0</v>
      </c>
      <c r="X232" s="469">
        <v>0</v>
      </c>
      <c r="Y232" s="467">
        <v>0</v>
      </c>
      <c r="Z232" s="468">
        <v>0</v>
      </c>
      <c r="AA232" s="478">
        <v>0</v>
      </c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  <c r="AQ232" s="32"/>
      <c r="AR232" s="32"/>
      <c r="AS232" s="32"/>
      <c r="AT232" s="32"/>
      <c r="AU232" s="32"/>
      <c r="AV232" s="32"/>
      <c r="AW232" s="25"/>
      <c r="AX232" s="25"/>
      <c r="AY232" s="25"/>
      <c r="AZ232" s="25"/>
      <c r="BA232" s="25"/>
      <c r="BB232" s="25"/>
      <c r="BC232" s="25"/>
      <c r="BD232" s="25"/>
      <c r="BE232" s="25"/>
      <c r="BF232" s="25"/>
      <c r="BG232" s="25"/>
      <c r="BH232" s="25"/>
      <c r="BI232" s="25"/>
      <c r="BJ232" s="25"/>
      <c r="BK232" s="25"/>
      <c r="BL232" s="25"/>
      <c r="BM232" s="25"/>
      <c r="BN232" s="25"/>
      <c r="BO232" s="25"/>
      <c r="BP232" s="25"/>
      <c r="BQ232" s="25"/>
      <c r="BR232" s="25"/>
      <c r="BS232" s="25"/>
      <c r="BT232" s="25"/>
      <c r="BU232" s="25"/>
      <c r="BV232" s="25"/>
      <c r="BW232" s="25"/>
      <c r="BX232" s="25"/>
      <c r="BY232" s="25"/>
      <c r="BZ232" s="25"/>
      <c r="CA232" s="25"/>
      <c r="CB232" s="25"/>
      <c r="CC232" s="25"/>
      <c r="CD232" s="25"/>
      <c r="CE232" s="25"/>
      <c r="CF232" s="25"/>
      <c r="CG232" s="25"/>
      <c r="CH232" s="25"/>
      <c r="CI232" s="25"/>
      <c r="CJ232" s="25"/>
      <c r="CK232" s="25"/>
      <c r="CL232" s="25"/>
      <c r="CM232" s="25"/>
      <c r="CN232" s="25"/>
      <c r="CO232" s="25"/>
      <c r="CP232" s="25"/>
      <c r="CQ232" s="25"/>
      <c r="CR232" s="25"/>
      <c r="CS232" s="25"/>
      <c r="CT232" s="25"/>
      <c r="CU232" s="25"/>
      <c r="CV232" s="25"/>
      <c r="CW232" s="25"/>
      <c r="CX232" s="25"/>
      <c r="CY232" s="25"/>
      <c r="CZ232" s="25"/>
      <c r="DA232" s="25"/>
      <c r="DB232" s="25"/>
      <c r="DC232" s="25"/>
      <c r="DD232" s="25"/>
      <c r="DE232" s="25"/>
      <c r="DF232" s="25"/>
      <c r="DG232" s="25"/>
      <c r="DH232" s="25"/>
      <c r="DI232" s="25"/>
      <c r="DJ232" s="25"/>
      <c r="DK232" s="25"/>
      <c r="DL232" s="25"/>
      <c r="DM232" s="25"/>
      <c r="DN232" s="25"/>
      <c r="DO232" s="25"/>
      <c r="DP232" s="25"/>
      <c r="DQ232" s="25"/>
      <c r="DR232" s="1178"/>
    </row>
    <row r="233" spans="1:122" s="39" customFormat="1" ht="24.95" customHeight="1" x14ac:dyDescent="0.25">
      <c r="A233" s="881">
        <v>230</v>
      </c>
      <c r="B233" s="666">
        <v>3631</v>
      </c>
      <c r="C233" s="667">
        <v>6121</v>
      </c>
      <c r="D233" s="1229"/>
      <c r="E233" s="603" t="s">
        <v>353</v>
      </c>
      <c r="F233" s="972" t="s">
        <v>123</v>
      </c>
      <c r="G233" s="111">
        <v>400</v>
      </c>
      <c r="H233" s="111">
        <v>2018</v>
      </c>
      <c r="I233" s="112">
        <v>2019</v>
      </c>
      <c r="J233" s="462">
        <f t="shared" si="36"/>
        <v>2670</v>
      </c>
      <c r="K233" s="463">
        <v>0</v>
      </c>
      <c r="L233" s="464">
        <v>0</v>
      </c>
      <c r="M233" s="465">
        <f t="shared" si="37"/>
        <v>0</v>
      </c>
      <c r="N233" s="466">
        <v>0</v>
      </c>
      <c r="O233" s="726">
        <v>0</v>
      </c>
      <c r="P233" s="467">
        <v>0</v>
      </c>
      <c r="Q233" s="464">
        <v>0</v>
      </c>
      <c r="R233" s="469">
        <v>2670</v>
      </c>
      <c r="S233" s="467">
        <v>0</v>
      </c>
      <c r="T233" s="464">
        <v>0</v>
      </c>
      <c r="U233" s="469">
        <v>0</v>
      </c>
      <c r="V233" s="467">
        <v>0</v>
      </c>
      <c r="W233" s="464">
        <v>0</v>
      </c>
      <c r="X233" s="469">
        <v>0</v>
      </c>
      <c r="Y233" s="467">
        <v>0</v>
      </c>
      <c r="Z233" s="468">
        <v>0</v>
      </c>
      <c r="AA233" s="478">
        <v>0</v>
      </c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  <c r="AQ233" s="32"/>
      <c r="AR233" s="32"/>
      <c r="AS233" s="32"/>
      <c r="AT233" s="32"/>
      <c r="AU233" s="32"/>
      <c r="AV233" s="32"/>
      <c r="AW233" s="25"/>
      <c r="AX233" s="25"/>
      <c r="AY233" s="25"/>
      <c r="AZ233" s="25"/>
      <c r="BA233" s="25"/>
      <c r="BB233" s="25"/>
      <c r="BC233" s="25"/>
      <c r="BD233" s="25"/>
      <c r="BE233" s="25"/>
      <c r="BF233" s="25"/>
      <c r="BG233" s="25"/>
      <c r="BH233" s="25"/>
      <c r="BI233" s="25"/>
      <c r="BJ233" s="25"/>
      <c r="BK233" s="25"/>
      <c r="BL233" s="25"/>
      <c r="BM233" s="25"/>
      <c r="BN233" s="25"/>
      <c r="BO233" s="25"/>
      <c r="BP233" s="25"/>
      <c r="BQ233" s="25"/>
      <c r="BR233" s="25"/>
      <c r="BS233" s="25"/>
      <c r="BT233" s="25"/>
      <c r="BU233" s="25"/>
      <c r="BV233" s="25"/>
      <c r="BW233" s="25"/>
      <c r="BX233" s="25"/>
      <c r="BY233" s="25"/>
      <c r="BZ233" s="25"/>
      <c r="CA233" s="25"/>
      <c r="CB233" s="25"/>
      <c r="CC233" s="25"/>
      <c r="CD233" s="25"/>
      <c r="CE233" s="25"/>
      <c r="CF233" s="25"/>
      <c r="CG233" s="25"/>
      <c r="CH233" s="25"/>
      <c r="CI233" s="25"/>
      <c r="CJ233" s="25"/>
      <c r="CK233" s="25"/>
      <c r="CL233" s="25"/>
      <c r="CM233" s="25"/>
      <c r="CN233" s="25"/>
      <c r="CO233" s="25"/>
      <c r="CP233" s="25"/>
      <c r="CQ233" s="25"/>
      <c r="CR233" s="25"/>
      <c r="CS233" s="25"/>
      <c r="CT233" s="25"/>
      <c r="CU233" s="25"/>
      <c r="CV233" s="25"/>
      <c r="CW233" s="25"/>
      <c r="CX233" s="25"/>
      <c r="CY233" s="25"/>
      <c r="CZ233" s="25"/>
      <c r="DA233" s="25"/>
      <c r="DB233" s="25"/>
      <c r="DC233" s="25"/>
      <c r="DD233" s="25"/>
      <c r="DE233" s="25"/>
      <c r="DF233" s="25"/>
      <c r="DG233" s="25"/>
      <c r="DH233" s="25"/>
      <c r="DI233" s="25"/>
      <c r="DJ233" s="25"/>
      <c r="DK233" s="25"/>
      <c r="DL233" s="25"/>
      <c r="DM233" s="25"/>
      <c r="DN233" s="25"/>
      <c r="DO233" s="25"/>
      <c r="DP233" s="25"/>
      <c r="DQ233" s="25"/>
      <c r="DR233" s="1178"/>
    </row>
    <row r="234" spans="1:122" s="39" customFormat="1" ht="24.95" customHeight="1" x14ac:dyDescent="0.25">
      <c r="A234" s="881">
        <v>230</v>
      </c>
      <c r="B234" s="666">
        <v>3631</v>
      </c>
      <c r="C234" s="667">
        <v>6121</v>
      </c>
      <c r="D234" s="1229"/>
      <c r="E234" s="603" t="s">
        <v>352</v>
      </c>
      <c r="F234" s="971" t="s">
        <v>123</v>
      </c>
      <c r="G234" s="111">
        <v>400</v>
      </c>
      <c r="H234" s="111">
        <v>2018</v>
      </c>
      <c r="I234" s="112">
        <v>2019</v>
      </c>
      <c r="J234" s="462">
        <f t="shared" si="36"/>
        <v>6530</v>
      </c>
      <c r="K234" s="463">
        <v>0</v>
      </c>
      <c r="L234" s="464">
        <v>0</v>
      </c>
      <c r="M234" s="465">
        <f t="shared" si="37"/>
        <v>0</v>
      </c>
      <c r="N234" s="466">
        <v>0</v>
      </c>
      <c r="O234" s="726">
        <v>0</v>
      </c>
      <c r="P234" s="467">
        <v>0</v>
      </c>
      <c r="Q234" s="464">
        <v>0</v>
      </c>
      <c r="R234" s="469">
        <v>6530</v>
      </c>
      <c r="S234" s="467">
        <v>0</v>
      </c>
      <c r="T234" s="464">
        <v>0</v>
      </c>
      <c r="U234" s="469">
        <v>0</v>
      </c>
      <c r="V234" s="467">
        <v>0</v>
      </c>
      <c r="W234" s="464">
        <v>0</v>
      </c>
      <c r="X234" s="469">
        <v>0</v>
      </c>
      <c r="Y234" s="467">
        <v>0</v>
      </c>
      <c r="Z234" s="468">
        <v>0</v>
      </c>
      <c r="AA234" s="478">
        <v>0</v>
      </c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  <c r="AQ234" s="32"/>
      <c r="AR234" s="32"/>
      <c r="AS234" s="32"/>
      <c r="AT234" s="32"/>
      <c r="AU234" s="32"/>
      <c r="AV234" s="32"/>
      <c r="AW234" s="25"/>
      <c r="AX234" s="25"/>
      <c r="AY234" s="25"/>
      <c r="AZ234" s="25"/>
      <c r="BA234" s="25"/>
      <c r="BB234" s="25"/>
      <c r="BC234" s="25"/>
      <c r="BD234" s="25"/>
      <c r="BE234" s="25"/>
      <c r="BF234" s="25"/>
      <c r="BG234" s="25"/>
      <c r="BH234" s="25"/>
      <c r="BI234" s="25"/>
      <c r="BJ234" s="25"/>
      <c r="BK234" s="25"/>
      <c r="BL234" s="25"/>
      <c r="BM234" s="25"/>
      <c r="BN234" s="25"/>
      <c r="BO234" s="25"/>
      <c r="BP234" s="25"/>
      <c r="BQ234" s="25"/>
      <c r="BR234" s="25"/>
      <c r="BS234" s="25"/>
      <c r="BT234" s="25"/>
      <c r="BU234" s="25"/>
      <c r="BV234" s="25"/>
      <c r="BW234" s="25"/>
      <c r="BX234" s="25"/>
      <c r="BY234" s="25"/>
      <c r="BZ234" s="25"/>
      <c r="CA234" s="25"/>
      <c r="CB234" s="25"/>
      <c r="CC234" s="25"/>
      <c r="CD234" s="25"/>
      <c r="CE234" s="25"/>
      <c r="CF234" s="25"/>
      <c r="CG234" s="25"/>
      <c r="CH234" s="25"/>
      <c r="CI234" s="25"/>
      <c r="CJ234" s="25"/>
      <c r="CK234" s="25"/>
      <c r="CL234" s="25"/>
      <c r="CM234" s="25"/>
      <c r="CN234" s="25"/>
      <c r="CO234" s="25"/>
      <c r="CP234" s="25"/>
      <c r="CQ234" s="25"/>
      <c r="CR234" s="25"/>
      <c r="CS234" s="25"/>
      <c r="CT234" s="25"/>
      <c r="CU234" s="25"/>
      <c r="CV234" s="25"/>
      <c r="CW234" s="25"/>
      <c r="CX234" s="25"/>
      <c r="CY234" s="25"/>
      <c r="CZ234" s="25"/>
      <c r="DA234" s="25"/>
      <c r="DB234" s="25"/>
      <c r="DC234" s="25"/>
      <c r="DD234" s="25"/>
      <c r="DE234" s="25"/>
      <c r="DF234" s="25"/>
      <c r="DG234" s="25"/>
      <c r="DH234" s="25"/>
      <c r="DI234" s="25"/>
      <c r="DJ234" s="25"/>
      <c r="DK234" s="25"/>
      <c r="DL234" s="25"/>
      <c r="DM234" s="25"/>
      <c r="DN234" s="25"/>
      <c r="DO234" s="25"/>
      <c r="DP234" s="25"/>
      <c r="DQ234" s="25"/>
      <c r="DR234" s="1178"/>
    </row>
    <row r="235" spans="1:122" s="39" customFormat="1" ht="24.95" customHeight="1" x14ac:dyDescent="0.25">
      <c r="A235" s="881">
        <v>230</v>
      </c>
      <c r="B235" s="666">
        <v>3631</v>
      </c>
      <c r="C235" s="667">
        <v>6121</v>
      </c>
      <c r="D235" s="1229"/>
      <c r="E235" s="603" t="s">
        <v>351</v>
      </c>
      <c r="F235" s="969" t="s">
        <v>117</v>
      </c>
      <c r="G235" s="111">
        <v>400</v>
      </c>
      <c r="H235" s="111">
        <v>2019</v>
      </c>
      <c r="I235" s="112">
        <v>2019</v>
      </c>
      <c r="J235" s="462">
        <f t="shared" si="36"/>
        <v>2400</v>
      </c>
      <c r="K235" s="463">
        <v>0</v>
      </c>
      <c r="L235" s="464">
        <v>0</v>
      </c>
      <c r="M235" s="465">
        <f t="shared" si="37"/>
        <v>0</v>
      </c>
      <c r="N235" s="466">
        <v>0</v>
      </c>
      <c r="O235" s="726">
        <v>0</v>
      </c>
      <c r="P235" s="467">
        <v>0</v>
      </c>
      <c r="Q235" s="464">
        <v>0</v>
      </c>
      <c r="R235" s="469">
        <v>2400</v>
      </c>
      <c r="S235" s="467">
        <v>0</v>
      </c>
      <c r="T235" s="464">
        <v>0</v>
      </c>
      <c r="U235" s="469">
        <v>0</v>
      </c>
      <c r="V235" s="467">
        <v>0</v>
      </c>
      <c r="W235" s="464">
        <v>0</v>
      </c>
      <c r="X235" s="469">
        <v>0</v>
      </c>
      <c r="Y235" s="467">
        <v>0</v>
      </c>
      <c r="Z235" s="468">
        <v>0</v>
      </c>
      <c r="AA235" s="478">
        <v>0</v>
      </c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  <c r="AQ235" s="32"/>
      <c r="AR235" s="32"/>
      <c r="AS235" s="32"/>
      <c r="AT235" s="32"/>
      <c r="AU235" s="32"/>
      <c r="AV235" s="32"/>
      <c r="AW235" s="25"/>
      <c r="AX235" s="25"/>
      <c r="AY235" s="25"/>
      <c r="AZ235" s="25"/>
      <c r="BA235" s="25"/>
      <c r="BB235" s="25"/>
      <c r="BC235" s="25"/>
      <c r="BD235" s="25"/>
      <c r="BE235" s="25"/>
      <c r="BF235" s="25"/>
      <c r="BG235" s="25"/>
      <c r="BH235" s="25"/>
      <c r="BI235" s="25"/>
      <c r="BJ235" s="25"/>
      <c r="BK235" s="25"/>
      <c r="BL235" s="25"/>
      <c r="BM235" s="25"/>
      <c r="BN235" s="25"/>
      <c r="BO235" s="25"/>
      <c r="BP235" s="25"/>
      <c r="BQ235" s="25"/>
      <c r="BR235" s="25"/>
      <c r="BS235" s="25"/>
      <c r="BT235" s="25"/>
      <c r="BU235" s="25"/>
      <c r="BV235" s="25"/>
      <c r="BW235" s="25"/>
      <c r="BX235" s="25"/>
      <c r="BY235" s="25"/>
      <c r="BZ235" s="25"/>
      <c r="CA235" s="25"/>
      <c r="CB235" s="25"/>
      <c r="CC235" s="25"/>
      <c r="CD235" s="25"/>
      <c r="CE235" s="25"/>
      <c r="CF235" s="25"/>
      <c r="CG235" s="25"/>
      <c r="CH235" s="25"/>
      <c r="CI235" s="25"/>
      <c r="CJ235" s="25"/>
      <c r="CK235" s="25"/>
      <c r="CL235" s="25"/>
      <c r="CM235" s="25"/>
      <c r="CN235" s="25"/>
      <c r="CO235" s="25"/>
      <c r="CP235" s="25"/>
      <c r="CQ235" s="25"/>
      <c r="CR235" s="25"/>
      <c r="CS235" s="25"/>
      <c r="CT235" s="25"/>
      <c r="CU235" s="25"/>
      <c r="CV235" s="25"/>
      <c r="CW235" s="25"/>
      <c r="CX235" s="25"/>
      <c r="CY235" s="25"/>
      <c r="CZ235" s="25"/>
      <c r="DA235" s="25"/>
      <c r="DB235" s="25"/>
      <c r="DC235" s="25"/>
      <c r="DD235" s="25"/>
      <c r="DE235" s="25"/>
      <c r="DF235" s="25"/>
      <c r="DG235" s="25"/>
      <c r="DH235" s="25"/>
      <c r="DI235" s="25"/>
      <c r="DJ235" s="25"/>
      <c r="DK235" s="25"/>
      <c r="DL235" s="25"/>
      <c r="DM235" s="25"/>
      <c r="DN235" s="25"/>
      <c r="DO235" s="25"/>
      <c r="DP235" s="25"/>
      <c r="DQ235" s="25"/>
      <c r="DR235" s="1178"/>
    </row>
    <row r="236" spans="1:122" s="39" customFormat="1" ht="24.95" customHeight="1" x14ac:dyDescent="0.25">
      <c r="A236" s="881">
        <v>230</v>
      </c>
      <c r="B236" s="666">
        <v>3631</v>
      </c>
      <c r="C236" s="667">
        <v>6121</v>
      </c>
      <c r="D236" s="1229"/>
      <c r="E236" s="603" t="s">
        <v>350</v>
      </c>
      <c r="F236" s="969" t="s">
        <v>117</v>
      </c>
      <c r="G236" s="111">
        <v>400</v>
      </c>
      <c r="H236" s="111">
        <v>2019</v>
      </c>
      <c r="I236" s="112">
        <v>2019</v>
      </c>
      <c r="J236" s="462">
        <f t="shared" si="36"/>
        <v>1350</v>
      </c>
      <c r="K236" s="463">
        <v>0</v>
      </c>
      <c r="L236" s="464">
        <v>0</v>
      </c>
      <c r="M236" s="465">
        <f t="shared" si="37"/>
        <v>0</v>
      </c>
      <c r="N236" s="466">
        <v>0</v>
      </c>
      <c r="O236" s="726">
        <v>0</v>
      </c>
      <c r="P236" s="467">
        <v>0</v>
      </c>
      <c r="Q236" s="464">
        <v>0</v>
      </c>
      <c r="R236" s="469">
        <v>1350</v>
      </c>
      <c r="S236" s="467">
        <v>0</v>
      </c>
      <c r="T236" s="464">
        <v>0</v>
      </c>
      <c r="U236" s="469">
        <v>0</v>
      </c>
      <c r="V236" s="467">
        <v>0</v>
      </c>
      <c r="W236" s="464">
        <v>0</v>
      </c>
      <c r="X236" s="469">
        <v>0</v>
      </c>
      <c r="Y236" s="467">
        <v>0</v>
      </c>
      <c r="Z236" s="468">
        <v>0</v>
      </c>
      <c r="AA236" s="478">
        <v>0</v>
      </c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  <c r="AQ236" s="32"/>
      <c r="AR236" s="32"/>
      <c r="AS236" s="32"/>
      <c r="AT236" s="32"/>
      <c r="AU236" s="32"/>
      <c r="AV236" s="32"/>
      <c r="AW236" s="25"/>
      <c r="AX236" s="25"/>
      <c r="AY236" s="25"/>
      <c r="AZ236" s="25"/>
      <c r="BA236" s="25"/>
      <c r="BB236" s="25"/>
      <c r="BC236" s="25"/>
      <c r="BD236" s="25"/>
      <c r="BE236" s="25"/>
      <c r="BF236" s="25"/>
      <c r="BG236" s="25"/>
      <c r="BH236" s="25"/>
      <c r="BI236" s="25"/>
      <c r="BJ236" s="25"/>
      <c r="BK236" s="25"/>
      <c r="BL236" s="25"/>
      <c r="BM236" s="25"/>
      <c r="BN236" s="25"/>
      <c r="BO236" s="25"/>
      <c r="BP236" s="25"/>
      <c r="BQ236" s="25"/>
      <c r="BR236" s="25"/>
      <c r="BS236" s="25"/>
      <c r="BT236" s="25"/>
      <c r="BU236" s="25"/>
      <c r="BV236" s="25"/>
      <c r="BW236" s="25"/>
      <c r="BX236" s="25"/>
      <c r="BY236" s="25"/>
      <c r="BZ236" s="25"/>
      <c r="CA236" s="25"/>
      <c r="CB236" s="25"/>
      <c r="CC236" s="25"/>
      <c r="CD236" s="25"/>
      <c r="CE236" s="25"/>
      <c r="CF236" s="25"/>
      <c r="CG236" s="25"/>
      <c r="CH236" s="25"/>
      <c r="CI236" s="25"/>
      <c r="CJ236" s="25"/>
      <c r="CK236" s="25"/>
      <c r="CL236" s="25"/>
      <c r="CM236" s="25"/>
      <c r="CN236" s="25"/>
      <c r="CO236" s="25"/>
      <c r="CP236" s="25"/>
      <c r="CQ236" s="25"/>
      <c r="CR236" s="25"/>
      <c r="CS236" s="25"/>
      <c r="CT236" s="25"/>
      <c r="CU236" s="25"/>
      <c r="CV236" s="25"/>
      <c r="CW236" s="25"/>
      <c r="CX236" s="25"/>
      <c r="CY236" s="25"/>
      <c r="CZ236" s="25"/>
      <c r="DA236" s="25"/>
      <c r="DB236" s="25"/>
      <c r="DC236" s="25"/>
      <c r="DD236" s="25"/>
      <c r="DE236" s="25"/>
      <c r="DF236" s="25"/>
      <c r="DG236" s="25"/>
      <c r="DH236" s="25"/>
      <c r="DI236" s="25"/>
      <c r="DJ236" s="25"/>
      <c r="DK236" s="25"/>
      <c r="DL236" s="25"/>
      <c r="DM236" s="25"/>
      <c r="DN236" s="25"/>
      <c r="DO236" s="25"/>
      <c r="DP236" s="25"/>
      <c r="DQ236" s="25"/>
      <c r="DR236" s="1178"/>
    </row>
    <row r="237" spans="1:122" s="39" customFormat="1" ht="24.95" customHeight="1" x14ac:dyDescent="0.25">
      <c r="A237" s="881">
        <v>230</v>
      </c>
      <c r="B237" s="666">
        <v>3631</v>
      </c>
      <c r="C237" s="667">
        <v>6121</v>
      </c>
      <c r="D237" s="1229"/>
      <c r="E237" s="603" t="s">
        <v>349</v>
      </c>
      <c r="F237" s="970" t="s">
        <v>117</v>
      </c>
      <c r="G237" s="111">
        <v>400</v>
      </c>
      <c r="H237" s="111">
        <v>2019</v>
      </c>
      <c r="I237" s="112">
        <v>2019</v>
      </c>
      <c r="J237" s="462">
        <f t="shared" si="36"/>
        <v>1870</v>
      </c>
      <c r="K237" s="463">
        <v>0</v>
      </c>
      <c r="L237" s="464">
        <v>0</v>
      </c>
      <c r="M237" s="465">
        <f t="shared" si="37"/>
        <v>0</v>
      </c>
      <c r="N237" s="466">
        <v>0</v>
      </c>
      <c r="O237" s="726">
        <v>0</v>
      </c>
      <c r="P237" s="467">
        <v>0</v>
      </c>
      <c r="Q237" s="464">
        <v>0</v>
      </c>
      <c r="R237" s="469">
        <v>1870</v>
      </c>
      <c r="S237" s="467">
        <v>0</v>
      </c>
      <c r="T237" s="464">
        <v>0</v>
      </c>
      <c r="U237" s="469">
        <v>0</v>
      </c>
      <c r="V237" s="467">
        <v>0</v>
      </c>
      <c r="W237" s="464">
        <v>0</v>
      </c>
      <c r="X237" s="469">
        <v>0</v>
      </c>
      <c r="Y237" s="467">
        <v>0</v>
      </c>
      <c r="Z237" s="468">
        <v>0</v>
      </c>
      <c r="AA237" s="478">
        <v>0</v>
      </c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  <c r="AQ237" s="32"/>
      <c r="AR237" s="32"/>
      <c r="AS237" s="32"/>
      <c r="AT237" s="32"/>
      <c r="AU237" s="32"/>
      <c r="AV237" s="32"/>
      <c r="AW237" s="25"/>
      <c r="AX237" s="25"/>
      <c r="AY237" s="25"/>
      <c r="AZ237" s="25"/>
      <c r="BA237" s="25"/>
      <c r="BB237" s="25"/>
      <c r="BC237" s="25"/>
      <c r="BD237" s="25"/>
      <c r="BE237" s="25"/>
      <c r="BF237" s="25"/>
      <c r="BG237" s="25"/>
      <c r="BH237" s="25"/>
      <c r="BI237" s="25"/>
      <c r="BJ237" s="25"/>
      <c r="BK237" s="25"/>
      <c r="BL237" s="25"/>
      <c r="BM237" s="25"/>
      <c r="BN237" s="25"/>
      <c r="BO237" s="25"/>
      <c r="BP237" s="25"/>
      <c r="BQ237" s="25"/>
      <c r="BR237" s="25"/>
      <c r="BS237" s="25"/>
      <c r="BT237" s="25"/>
      <c r="BU237" s="25"/>
      <c r="BV237" s="25"/>
      <c r="BW237" s="25"/>
      <c r="BX237" s="25"/>
      <c r="BY237" s="25"/>
      <c r="BZ237" s="25"/>
      <c r="CA237" s="25"/>
      <c r="CB237" s="25"/>
      <c r="CC237" s="25"/>
      <c r="CD237" s="25"/>
      <c r="CE237" s="25"/>
      <c r="CF237" s="25"/>
      <c r="CG237" s="25"/>
      <c r="CH237" s="25"/>
      <c r="CI237" s="25"/>
      <c r="CJ237" s="25"/>
      <c r="CK237" s="25"/>
      <c r="CL237" s="25"/>
      <c r="CM237" s="25"/>
      <c r="CN237" s="25"/>
      <c r="CO237" s="25"/>
      <c r="CP237" s="25"/>
      <c r="CQ237" s="25"/>
      <c r="CR237" s="25"/>
      <c r="CS237" s="25"/>
      <c r="CT237" s="25"/>
      <c r="CU237" s="25"/>
      <c r="CV237" s="25"/>
      <c r="CW237" s="25"/>
      <c r="CX237" s="25"/>
      <c r="CY237" s="25"/>
      <c r="CZ237" s="25"/>
      <c r="DA237" s="25"/>
      <c r="DB237" s="25"/>
      <c r="DC237" s="25"/>
      <c r="DD237" s="25"/>
      <c r="DE237" s="25"/>
      <c r="DF237" s="25"/>
      <c r="DG237" s="25"/>
      <c r="DH237" s="25"/>
      <c r="DI237" s="25"/>
      <c r="DJ237" s="25"/>
      <c r="DK237" s="25"/>
      <c r="DL237" s="25"/>
      <c r="DM237" s="25"/>
      <c r="DN237" s="25"/>
      <c r="DO237" s="25"/>
      <c r="DP237" s="25"/>
      <c r="DQ237" s="25"/>
      <c r="DR237" s="1178"/>
    </row>
    <row r="238" spans="1:122" s="39" customFormat="1" ht="24.95" customHeight="1" x14ac:dyDescent="0.25">
      <c r="A238" s="881">
        <v>230</v>
      </c>
      <c r="B238" s="666">
        <v>3631</v>
      </c>
      <c r="C238" s="667">
        <v>6121</v>
      </c>
      <c r="D238" s="1229"/>
      <c r="E238" s="603" t="s">
        <v>348</v>
      </c>
      <c r="F238" s="970" t="s">
        <v>211</v>
      </c>
      <c r="G238" s="111">
        <v>400</v>
      </c>
      <c r="H238" s="111">
        <v>2019</v>
      </c>
      <c r="I238" s="112">
        <v>2019</v>
      </c>
      <c r="J238" s="462">
        <f t="shared" si="36"/>
        <v>1330</v>
      </c>
      <c r="K238" s="463">
        <v>0</v>
      </c>
      <c r="L238" s="464">
        <v>0</v>
      </c>
      <c r="M238" s="465">
        <f t="shared" si="37"/>
        <v>0</v>
      </c>
      <c r="N238" s="466">
        <v>0</v>
      </c>
      <c r="O238" s="726">
        <v>0</v>
      </c>
      <c r="P238" s="467">
        <v>0</v>
      </c>
      <c r="Q238" s="464">
        <v>0</v>
      </c>
      <c r="R238" s="469">
        <v>1330</v>
      </c>
      <c r="S238" s="467">
        <v>0</v>
      </c>
      <c r="T238" s="464">
        <v>0</v>
      </c>
      <c r="U238" s="469">
        <v>0</v>
      </c>
      <c r="V238" s="467">
        <v>0</v>
      </c>
      <c r="W238" s="464">
        <v>0</v>
      </c>
      <c r="X238" s="469">
        <v>0</v>
      </c>
      <c r="Y238" s="467">
        <v>0</v>
      </c>
      <c r="Z238" s="468">
        <v>0</v>
      </c>
      <c r="AA238" s="478">
        <v>0</v>
      </c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  <c r="AQ238" s="32"/>
      <c r="AR238" s="32"/>
      <c r="AS238" s="32"/>
      <c r="AT238" s="32"/>
      <c r="AU238" s="32"/>
      <c r="AV238" s="32"/>
      <c r="AW238" s="25"/>
      <c r="AX238" s="25"/>
      <c r="AY238" s="25"/>
      <c r="AZ238" s="25"/>
      <c r="BA238" s="25"/>
      <c r="BB238" s="25"/>
      <c r="BC238" s="25"/>
      <c r="BD238" s="25"/>
      <c r="BE238" s="25"/>
      <c r="BF238" s="25"/>
      <c r="BG238" s="25"/>
      <c r="BH238" s="25"/>
      <c r="BI238" s="25"/>
      <c r="BJ238" s="25"/>
      <c r="BK238" s="25"/>
      <c r="BL238" s="25"/>
      <c r="BM238" s="25"/>
      <c r="BN238" s="25"/>
      <c r="BO238" s="25"/>
      <c r="BP238" s="25"/>
      <c r="BQ238" s="25"/>
      <c r="BR238" s="25"/>
      <c r="BS238" s="25"/>
      <c r="BT238" s="25"/>
      <c r="BU238" s="25"/>
      <c r="BV238" s="25"/>
      <c r="BW238" s="25"/>
      <c r="BX238" s="25"/>
      <c r="BY238" s="25"/>
      <c r="BZ238" s="25"/>
      <c r="CA238" s="25"/>
      <c r="CB238" s="25"/>
      <c r="CC238" s="25"/>
      <c r="CD238" s="25"/>
      <c r="CE238" s="25"/>
      <c r="CF238" s="25"/>
      <c r="CG238" s="25"/>
      <c r="CH238" s="25"/>
      <c r="CI238" s="25"/>
      <c r="CJ238" s="25"/>
      <c r="CK238" s="25"/>
      <c r="CL238" s="25"/>
      <c r="CM238" s="25"/>
      <c r="CN238" s="25"/>
      <c r="CO238" s="25"/>
      <c r="CP238" s="25"/>
      <c r="CQ238" s="25"/>
      <c r="CR238" s="25"/>
      <c r="CS238" s="25"/>
      <c r="CT238" s="25"/>
      <c r="CU238" s="25"/>
      <c r="CV238" s="25"/>
      <c r="CW238" s="25"/>
      <c r="CX238" s="25"/>
      <c r="CY238" s="25"/>
      <c r="CZ238" s="25"/>
      <c r="DA238" s="25"/>
      <c r="DB238" s="25"/>
      <c r="DC238" s="25"/>
      <c r="DD238" s="25"/>
      <c r="DE238" s="25"/>
      <c r="DF238" s="25"/>
      <c r="DG238" s="25"/>
      <c r="DH238" s="25"/>
      <c r="DI238" s="25"/>
      <c r="DJ238" s="25"/>
      <c r="DK238" s="25"/>
      <c r="DL238" s="25"/>
      <c r="DM238" s="25"/>
      <c r="DN238" s="25"/>
      <c r="DO238" s="25"/>
      <c r="DP238" s="25"/>
      <c r="DQ238" s="25"/>
      <c r="DR238" s="1178"/>
    </row>
    <row r="239" spans="1:122" s="39" customFormat="1" ht="24.95" customHeight="1" x14ac:dyDescent="0.25">
      <c r="A239" s="881">
        <v>230</v>
      </c>
      <c r="B239" s="666">
        <v>3631</v>
      </c>
      <c r="C239" s="667">
        <v>6121</v>
      </c>
      <c r="D239" s="1229"/>
      <c r="E239" s="603" t="s">
        <v>347</v>
      </c>
      <c r="F239" s="970" t="s">
        <v>123</v>
      </c>
      <c r="G239" s="111">
        <v>400</v>
      </c>
      <c r="H239" s="111">
        <v>2019</v>
      </c>
      <c r="I239" s="112">
        <v>2019</v>
      </c>
      <c r="J239" s="462">
        <f t="shared" si="36"/>
        <v>2420</v>
      </c>
      <c r="K239" s="463">
        <v>0</v>
      </c>
      <c r="L239" s="464">
        <v>0</v>
      </c>
      <c r="M239" s="465">
        <f t="shared" si="37"/>
        <v>0</v>
      </c>
      <c r="N239" s="466">
        <v>0</v>
      </c>
      <c r="O239" s="726">
        <v>0</v>
      </c>
      <c r="P239" s="467">
        <v>0</v>
      </c>
      <c r="Q239" s="464">
        <v>0</v>
      </c>
      <c r="R239" s="469">
        <v>2420</v>
      </c>
      <c r="S239" s="467">
        <v>0</v>
      </c>
      <c r="T239" s="464">
        <v>0</v>
      </c>
      <c r="U239" s="469">
        <v>0</v>
      </c>
      <c r="V239" s="467">
        <v>0</v>
      </c>
      <c r="W239" s="464">
        <v>0</v>
      </c>
      <c r="X239" s="469">
        <v>0</v>
      </c>
      <c r="Y239" s="467">
        <v>0</v>
      </c>
      <c r="Z239" s="468">
        <v>0</v>
      </c>
      <c r="AA239" s="478">
        <v>0</v>
      </c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  <c r="AQ239" s="32"/>
      <c r="AR239" s="32"/>
      <c r="AS239" s="32"/>
      <c r="AT239" s="32"/>
      <c r="AU239" s="32"/>
      <c r="AV239" s="32"/>
      <c r="AW239" s="25"/>
      <c r="AX239" s="25"/>
      <c r="AY239" s="25"/>
      <c r="AZ239" s="25"/>
      <c r="BA239" s="25"/>
      <c r="BB239" s="25"/>
      <c r="BC239" s="25"/>
      <c r="BD239" s="25"/>
      <c r="BE239" s="25"/>
      <c r="BF239" s="25"/>
      <c r="BG239" s="25"/>
      <c r="BH239" s="25"/>
      <c r="BI239" s="25"/>
      <c r="BJ239" s="25"/>
      <c r="BK239" s="25"/>
      <c r="BL239" s="25"/>
      <c r="BM239" s="25"/>
      <c r="BN239" s="25"/>
      <c r="BO239" s="25"/>
      <c r="BP239" s="25"/>
      <c r="BQ239" s="25"/>
      <c r="BR239" s="25"/>
      <c r="BS239" s="25"/>
      <c r="BT239" s="25"/>
      <c r="BU239" s="25"/>
      <c r="BV239" s="25"/>
      <c r="BW239" s="25"/>
      <c r="BX239" s="25"/>
      <c r="BY239" s="25"/>
      <c r="BZ239" s="25"/>
      <c r="CA239" s="25"/>
      <c r="CB239" s="25"/>
      <c r="CC239" s="25"/>
      <c r="CD239" s="25"/>
      <c r="CE239" s="25"/>
      <c r="CF239" s="25"/>
      <c r="CG239" s="25"/>
      <c r="CH239" s="25"/>
      <c r="CI239" s="25"/>
      <c r="CJ239" s="25"/>
      <c r="CK239" s="25"/>
      <c r="CL239" s="25"/>
      <c r="CM239" s="25"/>
      <c r="CN239" s="25"/>
      <c r="CO239" s="25"/>
      <c r="CP239" s="25"/>
      <c r="CQ239" s="25"/>
      <c r="CR239" s="25"/>
      <c r="CS239" s="25"/>
      <c r="CT239" s="25"/>
      <c r="CU239" s="25"/>
      <c r="CV239" s="25"/>
      <c r="CW239" s="25"/>
      <c r="CX239" s="25"/>
      <c r="CY239" s="25"/>
      <c r="CZ239" s="25"/>
      <c r="DA239" s="25"/>
      <c r="DB239" s="25"/>
      <c r="DC239" s="25"/>
      <c r="DD239" s="25"/>
      <c r="DE239" s="25"/>
      <c r="DF239" s="25"/>
      <c r="DG239" s="25"/>
      <c r="DH239" s="25"/>
      <c r="DI239" s="25"/>
      <c r="DJ239" s="25"/>
      <c r="DK239" s="25"/>
      <c r="DL239" s="25"/>
      <c r="DM239" s="25"/>
      <c r="DN239" s="25"/>
      <c r="DO239" s="25"/>
      <c r="DP239" s="25"/>
      <c r="DQ239" s="25"/>
      <c r="DR239" s="1178"/>
    </row>
    <row r="240" spans="1:122" s="39" customFormat="1" ht="24.95" customHeight="1" x14ac:dyDescent="0.25">
      <c r="A240" s="881">
        <v>230</v>
      </c>
      <c r="B240" s="666">
        <v>3631</v>
      </c>
      <c r="C240" s="667">
        <v>6121</v>
      </c>
      <c r="D240" s="1229"/>
      <c r="E240" s="603" t="s">
        <v>346</v>
      </c>
      <c r="F240" s="970" t="s">
        <v>115</v>
      </c>
      <c r="G240" s="111">
        <v>400</v>
      </c>
      <c r="H240" s="111">
        <v>2019</v>
      </c>
      <c r="I240" s="112">
        <v>2019</v>
      </c>
      <c r="J240" s="462">
        <f t="shared" si="36"/>
        <v>1580</v>
      </c>
      <c r="K240" s="463">
        <v>0</v>
      </c>
      <c r="L240" s="464">
        <v>0</v>
      </c>
      <c r="M240" s="465">
        <f t="shared" si="37"/>
        <v>0</v>
      </c>
      <c r="N240" s="466">
        <v>0</v>
      </c>
      <c r="O240" s="726">
        <v>0</v>
      </c>
      <c r="P240" s="467">
        <v>0</v>
      </c>
      <c r="Q240" s="464">
        <v>0</v>
      </c>
      <c r="R240" s="469">
        <v>1580</v>
      </c>
      <c r="S240" s="467">
        <v>0</v>
      </c>
      <c r="T240" s="464">
        <v>0</v>
      </c>
      <c r="U240" s="469">
        <v>0</v>
      </c>
      <c r="V240" s="467">
        <v>0</v>
      </c>
      <c r="W240" s="464">
        <v>0</v>
      </c>
      <c r="X240" s="469">
        <v>0</v>
      </c>
      <c r="Y240" s="467">
        <v>0</v>
      </c>
      <c r="Z240" s="468">
        <v>0</v>
      </c>
      <c r="AA240" s="478">
        <v>0</v>
      </c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  <c r="AQ240" s="32"/>
      <c r="AR240" s="32"/>
      <c r="AS240" s="32"/>
      <c r="AT240" s="32"/>
      <c r="AU240" s="32"/>
      <c r="AV240" s="32"/>
      <c r="AW240" s="25"/>
      <c r="AX240" s="25"/>
      <c r="AY240" s="25"/>
      <c r="AZ240" s="25"/>
      <c r="BA240" s="25"/>
      <c r="BB240" s="25"/>
      <c r="BC240" s="25"/>
      <c r="BD240" s="25"/>
      <c r="BE240" s="25"/>
      <c r="BF240" s="25"/>
      <c r="BG240" s="25"/>
      <c r="BH240" s="25"/>
      <c r="BI240" s="25"/>
      <c r="BJ240" s="25"/>
      <c r="BK240" s="25"/>
      <c r="BL240" s="25"/>
      <c r="BM240" s="25"/>
      <c r="BN240" s="25"/>
      <c r="BO240" s="25"/>
      <c r="BP240" s="25"/>
      <c r="BQ240" s="25"/>
      <c r="BR240" s="25"/>
      <c r="BS240" s="25"/>
      <c r="BT240" s="25"/>
      <c r="BU240" s="25"/>
      <c r="BV240" s="25"/>
      <c r="BW240" s="25"/>
      <c r="BX240" s="25"/>
      <c r="BY240" s="25"/>
      <c r="BZ240" s="25"/>
      <c r="CA240" s="25"/>
      <c r="CB240" s="25"/>
      <c r="CC240" s="25"/>
      <c r="CD240" s="25"/>
      <c r="CE240" s="25"/>
      <c r="CF240" s="25"/>
      <c r="CG240" s="25"/>
      <c r="CH240" s="25"/>
      <c r="CI240" s="25"/>
      <c r="CJ240" s="25"/>
      <c r="CK240" s="25"/>
      <c r="CL240" s="25"/>
      <c r="CM240" s="25"/>
      <c r="CN240" s="25"/>
      <c r="CO240" s="25"/>
      <c r="CP240" s="25"/>
      <c r="CQ240" s="25"/>
      <c r="CR240" s="25"/>
      <c r="CS240" s="25"/>
      <c r="CT240" s="25"/>
      <c r="CU240" s="25"/>
      <c r="CV240" s="25"/>
      <c r="CW240" s="25"/>
      <c r="CX240" s="25"/>
      <c r="CY240" s="25"/>
      <c r="CZ240" s="25"/>
      <c r="DA240" s="25"/>
      <c r="DB240" s="25"/>
      <c r="DC240" s="25"/>
      <c r="DD240" s="25"/>
      <c r="DE240" s="25"/>
      <c r="DF240" s="25"/>
      <c r="DG240" s="25"/>
      <c r="DH240" s="25"/>
      <c r="DI240" s="25"/>
      <c r="DJ240" s="25"/>
      <c r="DK240" s="25"/>
      <c r="DL240" s="25"/>
      <c r="DM240" s="25"/>
      <c r="DN240" s="25"/>
      <c r="DO240" s="25"/>
      <c r="DP240" s="25"/>
      <c r="DQ240" s="25"/>
      <c r="DR240" s="1178"/>
    </row>
    <row r="241" spans="1:122" s="39" customFormat="1" ht="24.95" customHeight="1" x14ac:dyDescent="0.25">
      <c r="A241" s="881">
        <v>230</v>
      </c>
      <c r="B241" s="666">
        <v>3631</v>
      </c>
      <c r="C241" s="667">
        <v>6121</v>
      </c>
      <c r="D241" s="1229"/>
      <c r="E241" s="603" t="s">
        <v>345</v>
      </c>
      <c r="F241" s="970" t="s">
        <v>121</v>
      </c>
      <c r="G241" s="111">
        <v>400</v>
      </c>
      <c r="H241" s="111">
        <v>2019</v>
      </c>
      <c r="I241" s="112">
        <v>2019</v>
      </c>
      <c r="J241" s="462">
        <f t="shared" si="36"/>
        <v>1640</v>
      </c>
      <c r="K241" s="463">
        <v>0</v>
      </c>
      <c r="L241" s="464">
        <v>0</v>
      </c>
      <c r="M241" s="465">
        <f t="shared" si="37"/>
        <v>0</v>
      </c>
      <c r="N241" s="466">
        <v>0</v>
      </c>
      <c r="O241" s="726">
        <v>0</v>
      </c>
      <c r="P241" s="467">
        <v>0</v>
      </c>
      <c r="Q241" s="464">
        <v>0</v>
      </c>
      <c r="R241" s="469">
        <v>1640</v>
      </c>
      <c r="S241" s="467">
        <v>0</v>
      </c>
      <c r="T241" s="464">
        <v>0</v>
      </c>
      <c r="U241" s="469">
        <v>0</v>
      </c>
      <c r="V241" s="467">
        <v>0</v>
      </c>
      <c r="W241" s="464">
        <v>0</v>
      </c>
      <c r="X241" s="469">
        <v>0</v>
      </c>
      <c r="Y241" s="467">
        <v>0</v>
      </c>
      <c r="Z241" s="468">
        <v>0</v>
      </c>
      <c r="AA241" s="478">
        <v>0</v>
      </c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  <c r="AQ241" s="32"/>
      <c r="AR241" s="32"/>
      <c r="AS241" s="32"/>
      <c r="AT241" s="32"/>
      <c r="AU241" s="32"/>
      <c r="AV241" s="32"/>
      <c r="AW241" s="25"/>
      <c r="AX241" s="25"/>
      <c r="AY241" s="25"/>
      <c r="AZ241" s="25"/>
      <c r="BA241" s="25"/>
      <c r="BB241" s="25"/>
      <c r="BC241" s="25"/>
      <c r="BD241" s="25"/>
      <c r="BE241" s="25"/>
      <c r="BF241" s="25"/>
      <c r="BG241" s="25"/>
      <c r="BH241" s="25"/>
      <c r="BI241" s="25"/>
      <c r="BJ241" s="25"/>
      <c r="BK241" s="25"/>
      <c r="BL241" s="25"/>
      <c r="BM241" s="25"/>
      <c r="BN241" s="25"/>
      <c r="BO241" s="25"/>
      <c r="BP241" s="25"/>
      <c r="BQ241" s="25"/>
      <c r="BR241" s="25"/>
      <c r="BS241" s="25"/>
      <c r="BT241" s="25"/>
      <c r="BU241" s="25"/>
      <c r="BV241" s="25"/>
      <c r="BW241" s="25"/>
      <c r="BX241" s="25"/>
      <c r="BY241" s="25"/>
      <c r="BZ241" s="25"/>
      <c r="CA241" s="25"/>
      <c r="CB241" s="25"/>
      <c r="CC241" s="25"/>
      <c r="CD241" s="25"/>
      <c r="CE241" s="25"/>
      <c r="CF241" s="25"/>
      <c r="CG241" s="25"/>
      <c r="CH241" s="25"/>
      <c r="CI241" s="25"/>
      <c r="CJ241" s="25"/>
      <c r="CK241" s="25"/>
      <c r="CL241" s="25"/>
      <c r="CM241" s="25"/>
      <c r="CN241" s="25"/>
      <c r="CO241" s="25"/>
      <c r="CP241" s="25"/>
      <c r="CQ241" s="25"/>
      <c r="CR241" s="25"/>
      <c r="CS241" s="25"/>
      <c r="CT241" s="25"/>
      <c r="CU241" s="25"/>
      <c r="CV241" s="25"/>
      <c r="CW241" s="25"/>
      <c r="CX241" s="25"/>
      <c r="CY241" s="25"/>
      <c r="CZ241" s="25"/>
      <c r="DA241" s="25"/>
      <c r="DB241" s="25"/>
      <c r="DC241" s="25"/>
      <c r="DD241" s="25"/>
      <c r="DE241" s="25"/>
      <c r="DF241" s="25"/>
      <c r="DG241" s="25"/>
      <c r="DH241" s="25"/>
      <c r="DI241" s="25"/>
      <c r="DJ241" s="25"/>
      <c r="DK241" s="25"/>
      <c r="DL241" s="25"/>
      <c r="DM241" s="25"/>
      <c r="DN241" s="25"/>
      <c r="DO241" s="25"/>
      <c r="DP241" s="25"/>
      <c r="DQ241" s="25"/>
      <c r="DR241" s="1178"/>
    </row>
    <row r="242" spans="1:122" s="39" customFormat="1" ht="24.95" customHeight="1" x14ac:dyDescent="0.25">
      <c r="A242" s="881">
        <v>230</v>
      </c>
      <c r="B242" s="666">
        <v>3631</v>
      </c>
      <c r="C242" s="667">
        <v>6121</v>
      </c>
      <c r="D242" s="1229"/>
      <c r="E242" s="603" t="s">
        <v>344</v>
      </c>
      <c r="F242" s="969" t="s">
        <v>123</v>
      </c>
      <c r="G242" s="111">
        <v>400</v>
      </c>
      <c r="H242" s="111">
        <v>2019</v>
      </c>
      <c r="I242" s="112">
        <v>2019</v>
      </c>
      <c r="J242" s="462">
        <f t="shared" si="36"/>
        <v>2660</v>
      </c>
      <c r="K242" s="463">
        <v>0</v>
      </c>
      <c r="L242" s="464">
        <v>0</v>
      </c>
      <c r="M242" s="465">
        <f t="shared" si="37"/>
        <v>0</v>
      </c>
      <c r="N242" s="466">
        <v>0</v>
      </c>
      <c r="O242" s="726">
        <v>0</v>
      </c>
      <c r="P242" s="467">
        <v>0</v>
      </c>
      <c r="Q242" s="464">
        <v>0</v>
      </c>
      <c r="R242" s="469">
        <f>2660-2660</f>
        <v>0</v>
      </c>
      <c r="S242" s="467">
        <v>0</v>
      </c>
      <c r="T242" s="464">
        <v>0</v>
      </c>
      <c r="U242" s="469">
        <v>2660</v>
      </c>
      <c r="V242" s="467">
        <v>0</v>
      </c>
      <c r="W242" s="464">
        <v>0</v>
      </c>
      <c r="X242" s="469">
        <v>0</v>
      </c>
      <c r="Y242" s="467">
        <v>0</v>
      </c>
      <c r="Z242" s="468">
        <v>0</v>
      </c>
      <c r="AA242" s="478">
        <v>0</v>
      </c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  <c r="AQ242" s="32"/>
      <c r="AR242" s="32"/>
      <c r="AS242" s="32"/>
      <c r="AT242" s="32"/>
      <c r="AU242" s="32"/>
      <c r="AV242" s="32"/>
      <c r="AW242" s="25"/>
      <c r="AX242" s="25"/>
      <c r="AY242" s="25"/>
      <c r="AZ242" s="25"/>
      <c r="BA242" s="25"/>
      <c r="BB242" s="25"/>
      <c r="BC242" s="25"/>
      <c r="BD242" s="25"/>
      <c r="BE242" s="25"/>
      <c r="BF242" s="25"/>
      <c r="BG242" s="25"/>
      <c r="BH242" s="25"/>
      <c r="BI242" s="25"/>
      <c r="BJ242" s="25"/>
      <c r="BK242" s="25"/>
      <c r="BL242" s="25"/>
      <c r="BM242" s="25"/>
      <c r="BN242" s="25"/>
      <c r="BO242" s="25"/>
      <c r="BP242" s="25"/>
      <c r="BQ242" s="25"/>
      <c r="BR242" s="25"/>
      <c r="BS242" s="25"/>
      <c r="BT242" s="25"/>
      <c r="BU242" s="25"/>
      <c r="BV242" s="25"/>
      <c r="BW242" s="25"/>
      <c r="BX242" s="25"/>
      <c r="BY242" s="25"/>
      <c r="BZ242" s="25"/>
      <c r="CA242" s="25"/>
      <c r="CB242" s="25"/>
      <c r="CC242" s="25"/>
      <c r="CD242" s="25"/>
      <c r="CE242" s="25"/>
      <c r="CF242" s="25"/>
      <c r="CG242" s="25"/>
      <c r="CH242" s="25"/>
      <c r="CI242" s="25"/>
      <c r="CJ242" s="25"/>
      <c r="CK242" s="25"/>
      <c r="CL242" s="25"/>
      <c r="CM242" s="25"/>
      <c r="CN242" s="25"/>
      <c r="CO242" s="25"/>
      <c r="CP242" s="25"/>
      <c r="CQ242" s="25"/>
      <c r="CR242" s="25"/>
      <c r="CS242" s="25"/>
      <c r="CT242" s="25"/>
      <c r="CU242" s="25"/>
      <c r="CV242" s="25"/>
      <c r="CW242" s="25"/>
      <c r="CX242" s="25"/>
      <c r="CY242" s="25"/>
      <c r="CZ242" s="25"/>
      <c r="DA242" s="25"/>
      <c r="DB242" s="25"/>
      <c r="DC242" s="25"/>
      <c r="DD242" s="25"/>
      <c r="DE242" s="25"/>
      <c r="DF242" s="25"/>
      <c r="DG242" s="25"/>
      <c r="DH242" s="25"/>
      <c r="DI242" s="25"/>
      <c r="DJ242" s="25"/>
      <c r="DK242" s="25"/>
      <c r="DL242" s="25"/>
      <c r="DM242" s="25"/>
      <c r="DN242" s="25"/>
      <c r="DO242" s="25"/>
      <c r="DP242" s="25"/>
      <c r="DQ242" s="25"/>
      <c r="DR242" s="1178"/>
    </row>
    <row r="243" spans="1:122" s="39" customFormat="1" ht="24.95" customHeight="1" x14ac:dyDescent="0.25">
      <c r="A243" s="881">
        <v>230</v>
      </c>
      <c r="B243" s="666">
        <v>3631</v>
      </c>
      <c r="C243" s="667">
        <v>6121</v>
      </c>
      <c r="D243" s="1229"/>
      <c r="E243" s="796" t="s">
        <v>343</v>
      </c>
      <c r="F243" s="968" t="s">
        <v>145</v>
      </c>
      <c r="G243" s="111">
        <v>400</v>
      </c>
      <c r="H243" s="111">
        <v>2019</v>
      </c>
      <c r="I243" s="112">
        <v>2019</v>
      </c>
      <c r="J243" s="462">
        <f t="shared" si="36"/>
        <v>330</v>
      </c>
      <c r="K243" s="463">
        <v>0</v>
      </c>
      <c r="L243" s="464">
        <v>0</v>
      </c>
      <c r="M243" s="465">
        <f t="shared" si="37"/>
        <v>0</v>
      </c>
      <c r="N243" s="466">
        <v>0</v>
      </c>
      <c r="O243" s="726">
        <v>0</v>
      </c>
      <c r="P243" s="467">
        <v>0</v>
      </c>
      <c r="Q243" s="464">
        <v>0</v>
      </c>
      <c r="R243" s="469">
        <f>330-330</f>
        <v>0</v>
      </c>
      <c r="S243" s="467">
        <v>0</v>
      </c>
      <c r="T243" s="464">
        <v>0</v>
      </c>
      <c r="U243" s="469">
        <v>330</v>
      </c>
      <c r="V243" s="467">
        <v>0</v>
      </c>
      <c r="W243" s="464">
        <v>0</v>
      </c>
      <c r="X243" s="469">
        <v>0</v>
      </c>
      <c r="Y243" s="467">
        <v>0</v>
      </c>
      <c r="Z243" s="468">
        <v>0</v>
      </c>
      <c r="AA243" s="478">
        <v>0</v>
      </c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  <c r="AQ243" s="32"/>
      <c r="AR243" s="32"/>
      <c r="AS243" s="32"/>
      <c r="AT243" s="32"/>
      <c r="AU243" s="32"/>
      <c r="AV243" s="32"/>
      <c r="AW243" s="25"/>
      <c r="AX243" s="25"/>
      <c r="AY243" s="25"/>
      <c r="AZ243" s="25"/>
      <c r="BA243" s="25"/>
      <c r="BB243" s="25"/>
      <c r="BC243" s="25"/>
      <c r="BD243" s="25"/>
      <c r="BE243" s="25"/>
      <c r="BF243" s="25"/>
      <c r="BG243" s="25"/>
      <c r="BH243" s="25"/>
      <c r="BI243" s="25"/>
      <c r="BJ243" s="25"/>
      <c r="BK243" s="25"/>
      <c r="BL243" s="25"/>
      <c r="BM243" s="25"/>
      <c r="BN243" s="25"/>
      <c r="BO243" s="25"/>
      <c r="BP243" s="25"/>
      <c r="BQ243" s="25"/>
      <c r="BR243" s="25"/>
      <c r="BS243" s="25"/>
      <c r="BT243" s="25"/>
      <c r="BU243" s="25"/>
      <c r="BV243" s="25"/>
      <c r="BW243" s="25"/>
      <c r="BX243" s="25"/>
      <c r="BY243" s="25"/>
      <c r="BZ243" s="25"/>
      <c r="CA243" s="25"/>
      <c r="CB243" s="25"/>
      <c r="CC243" s="25"/>
      <c r="CD243" s="25"/>
      <c r="CE243" s="25"/>
      <c r="CF243" s="25"/>
      <c r="CG243" s="25"/>
      <c r="CH243" s="25"/>
      <c r="CI243" s="25"/>
      <c r="CJ243" s="25"/>
      <c r="CK243" s="25"/>
      <c r="CL243" s="25"/>
      <c r="CM243" s="25"/>
      <c r="CN243" s="25"/>
      <c r="CO243" s="25"/>
      <c r="CP243" s="25"/>
      <c r="CQ243" s="25"/>
      <c r="CR243" s="25"/>
      <c r="CS243" s="25"/>
      <c r="CT243" s="25"/>
      <c r="CU243" s="25"/>
      <c r="CV243" s="25"/>
      <c r="CW243" s="25"/>
      <c r="CX243" s="25"/>
      <c r="CY243" s="25"/>
      <c r="CZ243" s="25"/>
      <c r="DA243" s="25"/>
      <c r="DB243" s="25"/>
      <c r="DC243" s="25"/>
      <c r="DD243" s="25"/>
      <c r="DE243" s="25"/>
      <c r="DF243" s="25"/>
      <c r="DG243" s="25"/>
      <c r="DH243" s="25"/>
      <c r="DI243" s="25"/>
      <c r="DJ243" s="25"/>
      <c r="DK243" s="25"/>
      <c r="DL243" s="25"/>
      <c r="DM243" s="25"/>
      <c r="DN243" s="25"/>
      <c r="DO243" s="25"/>
      <c r="DP243" s="25"/>
      <c r="DQ243" s="25"/>
      <c r="DR243" s="1178"/>
    </row>
    <row r="244" spans="1:122" s="39" customFormat="1" ht="24.95" customHeight="1" x14ac:dyDescent="0.25">
      <c r="A244" s="881">
        <v>230</v>
      </c>
      <c r="B244" s="666">
        <v>3631</v>
      </c>
      <c r="C244" s="667">
        <v>6121</v>
      </c>
      <c r="D244" s="1229"/>
      <c r="E244" s="796" t="s">
        <v>342</v>
      </c>
      <c r="F244" s="967" t="s">
        <v>341</v>
      </c>
      <c r="G244" s="111">
        <v>400</v>
      </c>
      <c r="H244" s="111">
        <v>2019</v>
      </c>
      <c r="I244" s="112">
        <v>2019</v>
      </c>
      <c r="J244" s="462">
        <f t="shared" si="36"/>
        <v>5000</v>
      </c>
      <c r="K244" s="463">
        <v>0</v>
      </c>
      <c r="L244" s="464">
        <v>0</v>
      </c>
      <c r="M244" s="465">
        <f t="shared" si="37"/>
        <v>0</v>
      </c>
      <c r="N244" s="466">
        <v>0</v>
      </c>
      <c r="O244" s="726">
        <v>0</v>
      </c>
      <c r="P244" s="467">
        <v>0</v>
      </c>
      <c r="Q244" s="464">
        <v>0</v>
      </c>
      <c r="R244" s="469">
        <f>5000-5000</f>
        <v>0</v>
      </c>
      <c r="S244" s="467">
        <v>0</v>
      </c>
      <c r="T244" s="464">
        <v>0</v>
      </c>
      <c r="U244" s="469">
        <v>5000</v>
      </c>
      <c r="V244" s="467">
        <v>0</v>
      </c>
      <c r="W244" s="464">
        <v>0</v>
      </c>
      <c r="X244" s="469">
        <v>0</v>
      </c>
      <c r="Y244" s="467">
        <v>0</v>
      </c>
      <c r="Z244" s="468">
        <v>0</v>
      </c>
      <c r="AA244" s="478">
        <v>0</v>
      </c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  <c r="AQ244" s="32"/>
      <c r="AR244" s="32"/>
      <c r="AS244" s="32"/>
      <c r="AT244" s="32"/>
      <c r="AU244" s="32"/>
      <c r="AV244" s="32"/>
      <c r="AW244" s="25"/>
      <c r="AX244" s="25"/>
      <c r="AY244" s="25"/>
      <c r="AZ244" s="25"/>
      <c r="BA244" s="25"/>
      <c r="BB244" s="25"/>
      <c r="BC244" s="25"/>
      <c r="BD244" s="25"/>
      <c r="BE244" s="25"/>
      <c r="BF244" s="25"/>
      <c r="BG244" s="25"/>
      <c r="BH244" s="25"/>
      <c r="BI244" s="25"/>
      <c r="BJ244" s="25"/>
      <c r="BK244" s="25"/>
      <c r="BL244" s="25"/>
      <c r="BM244" s="25"/>
      <c r="BN244" s="25"/>
      <c r="BO244" s="25"/>
      <c r="BP244" s="25"/>
      <c r="BQ244" s="25"/>
      <c r="BR244" s="25"/>
      <c r="BS244" s="25"/>
      <c r="BT244" s="25"/>
      <c r="BU244" s="25"/>
      <c r="BV244" s="25"/>
      <c r="BW244" s="25"/>
      <c r="BX244" s="25"/>
      <c r="BY244" s="25"/>
      <c r="BZ244" s="25"/>
      <c r="CA244" s="25"/>
      <c r="CB244" s="25"/>
      <c r="CC244" s="25"/>
      <c r="CD244" s="25"/>
      <c r="CE244" s="25"/>
      <c r="CF244" s="25"/>
      <c r="CG244" s="25"/>
      <c r="CH244" s="25"/>
      <c r="CI244" s="25"/>
      <c r="CJ244" s="25"/>
      <c r="CK244" s="25"/>
      <c r="CL244" s="25"/>
      <c r="CM244" s="25"/>
      <c r="CN244" s="25"/>
      <c r="CO244" s="25"/>
      <c r="CP244" s="25"/>
      <c r="CQ244" s="25"/>
      <c r="CR244" s="25"/>
      <c r="CS244" s="25"/>
      <c r="CT244" s="25"/>
      <c r="CU244" s="25"/>
      <c r="CV244" s="25"/>
      <c r="CW244" s="25"/>
      <c r="CX244" s="25"/>
      <c r="CY244" s="25"/>
      <c r="CZ244" s="25"/>
      <c r="DA244" s="25"/>
      <c r="DB244" s="25"/>
      <c r="DC244" s="25"/>
      <c r="DD244" s="25"/>
      <c r="DE244" s="25"/>
      <c r="DF244" s="25"/>
      <c r="DG244" s="25"/>
      <c r="DH244" s="25"/>
      <c r="DI244" s="25"/>
      <c r="DJ244" s="25"/>
      <c r="DK244" s="25"/>
      <c r="DL244" s="25"/>
      <c r="DM244" s="25"/>
      <c r="DN244" s="25"/>
      <c r="DO244" s="25"/>
      <c r="DP244" s="25"/>
      <c r="DQ244" s="25"/>
      <c r="DR244" s="1178"/>
    </row>
    <row r="245" spans="1:122" s="23" customFormat="1" ht="24.95" customHeight="1" x14ac:dyDescent="0.25">
      <c r="A245" s="881">
        <v>230</v>
      </c>
      <c r="B245" s="666">
        <v>3631</v>
      </c>
      <c r="C245" s="667">
        <v>6121</v>
      </c>
      <c r="D245" s="1229"/>
      <c r="E245" s="788" t="s">
        <v>340</v>
      </c>
      <c r="F245" s="967" t="s">
        <v>117</v>
      </c>
      <c r="G245" s="111">
        <v>400</v>
      </c>
      <c r="H245" s="111">
        <v>2019</v>
      </c>
      <c r="I245" s="112">
        <v>2019</v>
      </c>
      <c r="J245" s="462">
        <f t="shared" si="36"/>
        <v>7300</v>
      </c>
      <c r="K245" s="463">
        <v>0</v>
      </c>
      <c r="L245" s="464">
        <v>0</v>
      </c>
      <c r="M245" s="465">
        <f t="shared" si="37"/>
        <v>0</v>
      </c>
      <c r="N245" s="466">
        <v>0</v>
      </c>
      <c r="O245" s="726">
        <v>0</v>
      </c>
      <c r="P245" s="467">
        <v>0</v>
      </c>
      <c r="Q245" s="464">
        <v>0</v>
      </c>
      <c r="R245" s="469">
        <f>7300-7300</f>
        <v>0</v>
      </c>
      <c r="S245" s="467">
        <v>0</v>
      </c>
      <c r="T245" s="464">
        <v>0</v>
      </c>
      <c r="U245" s="469">
        <v>7300</v>
      </c>
      <c r="V245" s="467">
        <v>0</v>
      </c>
      <c r="W245" s="464">
        <v>0</v>
      </c>
      <c r="X245" s="469">
        <v>0</v>
      </c>
      <c r="Y245" s="467">
        <v>0</v>
      </c>
      <c r="Z245" s="468">
        <v>0</v>
      </c>
      <c r="AA245" s="478">
        <v>0</v>
      </c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  <c r="AQ245" s="32"/>
      <c r="AR245" s="32"/>
      <c r="AS245" s="32"/>
      <c r="AT245" s="32"/>
      <c r="AU245" s="32"/>
      <c r="AV245" s="32"/>
      <c r="AW245" s="25"/>
      <c r="AX245" s="25"/>
      <c r="AY245" s="25"/>
      <c r="AZ245" s="25"/>
      <c r="BA245" s="25"/>
      <c r="BB245" s="25"/>
      <c r="BC245" s="25"/>
      <c r="BD245" s="25"/>
      <c r="BE245" s="25"/>
      <c r="BF245" s="25"/>
      <c r="BG245" s="25"/>
      <c r="BH245" s="25"/>
      <c r="BI245" s="25"/>
      <c r="BJ245" s="25"/>
      <c r="BK245" s="25"/>
      <c r="BL245" s="25"/>
      <c r="BM245" s="25"/>
      <c r="BN245" s="25"/>
      <c r="BO245" s="25"/>
      <c r="BP245" s="25"/>
      <c r="BQ245" s="25"/>
      <c r="BR245" s="25"/>
      <c r="BS245" s="25"/>
      <c r="BT245" s="25"/>
      <c r="BU245" s="25"/>
      <c r="BV245" s="25"/>
      <c r="BW245" s="25"/>
      <c r="BX245" s="25"/>
      <c r="BY245" s="25"/>
      <c r="BZ245" s="25"/>
      <c r="CA245" s="25"/>
      <c r="CB245" s="25"/>
      <c r="CC245" s="25"/>
      <c r="CD245" s="25"/>
      <c r="CE245" s="25"/>
      <c r="CF245" s="25"/>
      <c r="CG245" s="25"/>
      <c r="CH245" s="25"/>
      <c r="CI245" s="25"/>
      <c r="CJ245" s="25"/>
      <c r="CK245" s="25"/>
      <c r="CL245" s="25"/>
      <c r="CM245" s="25"/>
      <c r="CN245" s="25"/>
      <c r="CO245" s="25"/>
      <c r="CP245" s="25"/>
      <c r="CQ245" s="25"/>
      <c r="CR245" s="25"/>
      <c r="CS245" s="25"/>
      <c r="CT245" s="25"/>
      <c r="CU245" s="25"/>
      <c r="CV245" s="25"/>
      <c r="CW245" s="25"/>
      <c r="CX245" s="25"/>
      <c r="CY245" s="25"/>
      <c r="CZ245" s="25"/>
      <c r="DA245" s="25"/>
      <c r="DB245" s="25"/>
      <c r="DC245" s="25"/>
      <c r="DD245" s="25"/>
      <c r="DE245" s="25"/>
      <c r="DF245" s="25"/>
      <c r="DG245" s="25"/>
      <c r="DH245" s="25"/>
      <c r="DI245" s="25"/>
      <c r="DJ245" s="25"/>
      <c r="DK245" s="25"/>
      <c r="DL245" s="25"/>
      <c r="DM245" s="25"/>
      <c r="DN245" s="25"/>
      <c r="DO245" s="25"/>
      <c r="DP245" s="25"/>
      <c r="DQ245" s="25"/>
    </row>
    <row r="246" spans="1:122" s="23" customFormat="1" ht="24.95" customHeight="1" x14ac:dyDescent="0.25">
      <c r="A246" s="881">
        <v>230</v>
      </c>
      <c r="B246" s="727">
        <v>3631</v>
      </c>
      <c r="C246" s="728">
        <v>6121</v>
      </c>
      <c r="D246" s="1247"/>
      <c r="E246" s="966" t="s">
        <v>339</v>
      </c>
      <c r="F246" s="110" t="s">
        <v>117</v>
      </c>
      <c r="G246" s="111">
        <v>400</v>
      </c>
      <c r="H246" s="111">
        <v>2019</v>
      </c>
      <c r="I246" s="112">
        <v>2019</v>
      </c>
      <c r="J246" s="462">
        <f t="shared" si="36"/>
        <v>3800</v>
      </c>
      <c r="K246" s="463">
        <v>0</v>
      </c>
      <c r="L246" s="464">
        <v>0</v>
      </c>
      <c r="M246" s="465">
        <f t="shared" si="37"/>
        <v>0</v>
      </c>
      <c r="N246" s="466">
        <v>0</v>
      </c>
      <c r="O246" s="475">
        <v>0</v>
      </c>
      <c r="P246" s="467">
        <v>0</v>
      </c>
      <c r="Q246" s="464">
        <v>0</v>
      </c>
      <c r="R246" s="469">
        <f>3800-3800</f>
        <v>0</v>
      </c>
      <c r="S246" s="467">
        <v>0</v>
      </c>
      <c r="T246" s="464">
        <v>0</v>
      </c>
      <c r="U246" s="469">
        <v>3800</v>
      </c>
      <c r="V246" s="467">
        <v>0</v>
      </c>
      <c r="W246" s="464">
        <v>0</v>
      </c>
      <c r="X246" s="469">
        <v>0</v>
      </c>
      <c r="Y246" s="467">
        <v>0</v>
      </c>
      <c r="Z246" s="468">
        <v>0</v>
      </c>
      <c r="AA246" s="478">
        <v>0</v>
      </c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  <c r="AQ246" s="32"/>
      <c r="AR246" s="32"/>
      <c r="AS246" s="32"/>
      <c r="AT246" s="32"/>
      <c r="AU246" s="32"/>
      <c r="AV246" s="32"/>
      <c r="AW246" s="25"/>
      <c r="AX246" s="25"/>
      <c r="AY246" s="25"/>
      <c r="AZ246" s="25"/>
      <c r="BA246" s="25"/>
      <c r="BB246" s="25"/>
      <c r="BC246" s="25"/>
      <c r="BD246" s="25"/>
      <c r="BE246" s="25"/>
      <c r="BF246" s="25"/>
      <c r="BG246" s="25"/>
      <c r="BH246" s="25"/>
      <c r="BI246" s="25"/>
      <c r="BJ246" s="25"/>
      <c r="BK246" s="25"/>
      <c r="BL246" s="25"/>
      <c r="BM246" s="25"/>
      <c r="BN246" s="25"/>
      <c r="BO246" s="25"/>
      <c r="BP246" s="25"/>
      <c r="BQ246" s="25"/>
      <c r="BR246" s="25"/>
      <c r="BS246" s="25"/>
      <c r="BT246" s="25"/>
      <c r="BU246" s="25"/>
      <c r="BV246" s="25"/>
      <c r="BW246" s="25"/>
      <c r="BX246" s="25"/>
      <c r="BY246" s="25"/>
      <c r="BZ246" s="25"/>
      <c r="CA246" s="25"/>
      <c r="CB246" s="25"/>
      <c r="CC246" s="25"/>
      <c r="CD246" s="25"/>
      <c r="CE246" s="25"/>
      <c r="CF246" s="25"/>
      <c r="CG246" s="25"/>
      <c r="CH246" s="25"/>
      <c r="CI246" s="25"/>
      <c r="CJ246" s="25"/>
      <c r="CK246" s="25"/>
      <c r="CL246" s="25"/>
      <c r="CM246" s="25"/>
      <c r="CN246" s="25"/>
      <c r="CO246" s="25"/>
      <c r="CP246" s="25"/>
      <c r="CQ246" s="25"/>
      <c r="CR246" s="25"/>
      <c r="CS246" s="25"/>
      <c r="CT246" s="25"/>
      <c r="CU246" s="25"/>
      <c r="CV246" s="25"/>
      <c r="CW246" s="25"/>
      <c r="CX246" s="25"/>
      <c r="CY246" s="25"/>
      <c r="CZ246" s="25"/>
      <c r="DA246" s="25"/>
      <c r="DB246" s="25"/>
      <c r="DC246" s="25"/>
      <c r="DD246" s="25"/>
      <c r="DE246" s="25"/>
      <c r="DF246" s="25"/>
      <c r="DG246" s="25"/>
      <c r="DH246" s="25"/>
      <c r="DI246" s="25"/>
      <c r="DJ246" s="25"/>
      <c r="DK246" s="25"/>
      <c r="DL246" s="25"/>
      <c r="DM246" s="25"/>
      <c r="DN246" s="25"/>
      <c r="DO246" s="25"/>
      <c r="DP246" s="25"/>
      <c r="DQ246" s="25"/>
    </row>
    <row r="247" spans="1:122" s="31" customFormat="1" ht="24.95" customHeight="1" x14ac:dyDescent="0.25">
      <c r="A247" s="950">
        <v>230</v>
      </c>
      <c r="B247" s="965">
        <v>3639</v>
      </c>
      <c r="C247" s="964">
        <v>6142</v>
      </c>
      <c r="D247" s="963" t="s">
        <v>275</v>
      </c>
      <c r="E247" s="962" t="s">
        <v>338</v>
      </c>
      <c r="F247" s="853"/>
      <c r="G247" s="503">
        <v>400</v>
      </c>
      <c r="H247" s="503">
        <v>2019</v>
      </c>
      <c r="I247" s="504">
        <v>2019</v>
      </c>
      <c r="J247" s="956">
        <f t="shared" si="36"/>
        <v>1000</v>
      </c>
      <c r="K247" s="961">
        <v>0</v>
      </c>
      <c r="L247" s="960">
        <v>0</v>
      </c>
      <c r="M247" s="889">
        <f t="shared" si="37"/>
        <v>1000</v>
      </c>
      <c r="N247" s="568">
        <v>0</v>
      </c>
      <c r="O247" s="569">
        <v>1000</v>
      </c>
      <c r="P247" s="958">
        <v>0</v>
      </c>
      <c r="Q247" s="960">
        <v>0</v>
      </c>
      <c r="R247" s="571">
        <v>0</v>
      </c>
      <c r="S247" s="958">
        <v>0</v>
      </c>
      <c r="T247" s="957">
        <v>0</v>
      </c>
      <c r="U247" s="959">
        <v>0</v>
      </c>
      <c r="V247" s="958">
        <v>0</v>
      </c>
      <c r="W247" s="957">
        <v>0</v>
      </c>
      <c r="X247" s="571">
        <v>0</v>
      </c>
      <c r="Y247" s="958">
        <v>0</v>
      </c>
      <c r="Z247" s="960">
        <v>0</v>
      </c>
      <c r="AA247" s="956">
        <v>0</v>
      </c>
      <c r="AB247" s="25"/>
      <c r="AC247" s="25"/>
      <c r="AD247" s="25"/>
      <c r="AE247" s="25"/>
      <c r="AF247" s="25"/>
      <c r="AG247" s="25"/>
      <c r="AH247" s="25"/>
      <c r="AI247" s="25"/>
      <c r="AJ247" s="25"/>
      <c r="AK247" s="25"/>
      <c r="AL247" s="25"/>
      <c r="AM247" s="25"/>
      <c r="AN247" s="25"/>
      <c r="AO247" s="25"/>
      <c r="AP247" s="25"/>
      <c r="AQ247" s="25"/>
      <c r="AR247" s="25"/>
      <c r="AS247" s="25"/>
      <c r="AT247" s="25"/>
      <c r="AU247" s="25"/>
      <c r="AV247" s="25"/>
      <c r="AW247" s="25"/>
      <c r="AX247" s="25"/>
      <c r="AY247" s="25"/>
      <c r="AZ247" s="25"/>
      <c r="BA247" s="25"/>
      <c r="BB247" s="25"/>
      <c r="BC247" s="25"/>
      <c r="BD247" s="25"/>
      <c r="BE247" s="25"/>
      <c r="BF247" s="25"/>
      <c r="BG247" s="25"/>
      <c r="BH247" s="25"/>
      <c r="BI247" s="25"/>
      <c r="BJ247" s="25"/>
      <c r="BK247" s="25"/>
      <c r="BL247" s="25"/>
      <c r="BM247" s="25"/>
      <c r="BN247" s="25"/>
      <c r="BO247" s="25"/>
      <c r="BP247" s="25"/>
      <c r="BQ247" s="25"/>
      <c r="BR247" s="25"/>
      <c r="BS247" s="25"/>
      <c r="BT247" s="25"/>
      <c r="BU247" s="25"/>
      <c r="BV247" s="25"/>
      <c r="BW247" s="25"/>
      <c r="BX247" s="25"/>
      <c r="BY247" s="25"/>
      <c r="BZ247" s="25"/>
      <c r="CA247" s="25"/>
      <c r="CB247" s="25"/>
      <c r="CC247" s="25"/>
      <c r="CD247" s="25"/>
      <c r="CE247" s="25"/>
      <c r="CF247" s="25"/>
      <c r="CG247" s="25"/>
      <c r="CH247" s="25"/>
      <c r="CI247" s="25"/>
      <c r="CJ247" s="25"/>
      <c r="CK247" s="25"/>
      <c r="CL247" s="25"/>
      <c r="CM247" s="25"/>
      <c r="CN247" s="25"/>
      <c r="CO247" s="25"/>
      <c r="CP247" s="25"/>
      <c r="CQ247" s="25"/>
      <c r="CR247" s="25"/>
      <c r="CS247" s="25"/>
      <c r="CT247" s="25"/>
      <c r="CU247" s="25"/>
      <c r="CV247" s="25"/>
      <c r="CW247" s="25"/>
      <c r="CX247" s="25"/>
      <c r="CY247" s="25"/>
      <c r="CZ247" s="25"/>
      <c r="DA247" s="25"/>
      <c r="DB247" s="25"/>
      <c r="DC247" s="25"/>
      <c r="DD247" s="25"/>
      <c r="DE247" s="25"/>
      <c r="DF247" s="25"/>
      <c r="DG247" s="25"/>
      <c r="DH247" s="25"/>
      <c r="DI247" s="25"/>
      <c r="DJ247" s="25"/>
      <c r="DK247" s="25"/>
      <c r="DL247" s="25"/>
      <c r="DM247" s="25"/>
      <c r="DN247" s="25"/>
      <c r="DO247" s="25"/>
      <c r="DP247" s="25"/>
      <c r="DQ247" s="25"/>
    </row>
    <row r="248" spans="1:122" s="23" customFormat="1" ht="24.95" customHeight="1" x14ac:dyDescent="0.25">
      <c r="A248" s="951">
        <v>230</v>
      </c>
      <c r="B248" s="666">
        <v>3639</v>
      </c>
      <c r="C248" s="667">
        <v>6121</v>
      </c>
      <c r="D248" s="1230">
        <v>8006</v>
      </c>
      <c r="E248" s="915" t="s">
        <v>337</v>
      </c>
      <c r="F248" s="110"/>
      <c r="G248" s="111">
        <v>400</v>
      </c>
      <c r="H248" s="111">
        <v>2010</v>
      </c>
      <c r="I248" s="112">
        <v>2022</v>
      </c>
      <c r="J248" s="462">
        <f t="shared" si="36"/>
        <v>19722</v>
      </c>
      <c r="K248" s="463">
        <v>926</v>
      </c>
      <c r="L248" s="464">
        <v>1796</v>
      </c>
      <c r="M248" s="465">
        <f t="shared" si="37"/>
        <v>2000</v>
      </c>
      <c r="N248" s="466">
        <v>0</v>
      </c>
      <c r="O248" s="475">
        <f>5000-3000</f>
        <v>2000</v>
      </c>
      <c r="P248" s="467">
        <v>0</v>
      </c>
      <c r="Q248" s="464">
        <v>0</v>
      </c>
      <c r="R248" s="469">
        <v>5000</v>
      </c>
      <c r="S248" s="467">
        <v>0</v>
      </c>
      <c r="T248" s="464">
        <v>0</v>
      </c>
      <c r="U248" s="469">
        <v>5000</v>
      </c>
      <c r="V248" s="467">
        <v>0</v>
      </c>
      <c r="W248" s="464">
        <v>0</v>
      </c>
      <c r="X248" s="469">
        <v>5000</v>
      </c>
      <c r="Y248" s="467">
        <v>0</v>
      </c>
      <c r="Z248" s="468">
        <v>0</v>
      </c>
      <c r="AA248" s="478">
        <v>0</v>
      </c>
      <c r="AB248" s="25"/>
      <c r="AC248" s="25"/>
      <c r="AD248" s="25"/>
      <c r="AE248" s="25"/>
      <c r="AF248" s="25"/>
      <c r="AG248" s="25"/>
      <c r="AH248" s="25"/>
      <c r="AI248" s="25"/>
      <c r="AJ248" s="25"/>
      <c r="AK248" s="25"/>
      <c r="AL248" s="25"/>
      <c r="AM248" s="25"/>
      <c r="AN248" s="25"/>
      <c r="AO248" s="25"/>
      <c r="AP248" s="25"/>
      <c r="AQ248" s="25"/>
      <c r="AR248" s="25"/>
      <c r="AS248" s="25"/>
      <c r="AT248" s="25"/>
      <c r="AU248" s="25"/>
      <c r="AV248" s="25"/>
      <c r="AW248" s="25"/>
      <c r="AX248" s="25"/>
      <c r="AY248" s="25"/>
      <c r="AZ248" s="25"/>
      <c r="BA248" s="25"/>
      <c r="BB248" s="25"/>
      <c r="BC248" s="25"/>
      <c r="BD248" s="25"/>
      <c r="BE248" s="25"/>
      <c r="BF248" s="25"/>
      <c r="BG248" s="25"/>
      <c r="BH248" s="25"/>
      <c r="BI248" s="25"/>
      <c r="BJ248" s="25"/>
      <c r="BK248" s="25"/>
      <c r="BL248" s="25"/>
      <c r="BM248" s="25"/>
      <c r="BN248" s="25"/>
      <c r="BO248" s="25"/>
      <c r="BP248" s="25"/>
      <c r="BQ248" s="25"/>
      <c r="BR248" s="25"/>
      <c r="BS248" s="25"/>
      <c r="BT248" s="25"/>
      <c r="BU248" s="25"/>
      <c r="BV248" s="25"/>
      <c r="BW248" s="25"/>
      <c r="BX248" s="25"/>
      <c r="BY248" s="25"/>
      <c r="BZ248" s="25"/>
      <c r="CA248" s="25"/>
      <c r="CB248" s="25"/>
      <c r="CC248" s="25"/>
      <c r="CD248" s="25"/>
      <c r="CE248" s="25"/>
      <c r="CF248" s="25"/>
      <c r="CG248" s="25"/>
      <c r="CH248" s="25"/>
      <c r="CI248" s="25"/>
      <c r="CJ248" s="25"/>
      <c r="CK248" s="25"/>
      <c r="CL248" s="25"/>
      <c r="CM248" s="25"/>
      <c r="CN248" s="25"/>
      <c r="CO248" s="25"/>
      <c r="CP248" s="25"/>
      <c r="CQ248" s="25"/>
      <c r="CR248" s="25"/>
      <c r="CS248" s="25"/>
      <c r="CT248" s="25"/>
      <c r="CU248" s="25"/>
      <c r="CV248" s="25"/>
      <c r="CW248" s="25"/>
      <c r="CX248" s="25"/>
      <c r="CY248" s="25"/>
      <c r="CZ248" s="25"/>
      <c r="DA248" s="25"/>
      <c r="DB248" s="25"/>
      <c r="DC248" s="25"/>
      <c r="DD248" s="25"/>
      <c r="DE248" s="25"/>
      <c r="DF248" s="25"/>
      <c r="DG248" s="25"/>
      <c r="DH248" s="25"/>
      <c r="DI248" s="25"/>
      <c r="DJ248" s="25"/>
      <c r="DK248" s="25"/>
      <c r="DL248" s="25"/>
      <c r="DM248" s="25"/>
      <c r="DN248" s="25"/>
      <c r="DO248" s="25"/>
      <c r="DP248" s="25"/>
      <c r="DQ248" s="25"/>
    </row>
    <row r="249" spans="1:122" s="23" customFormat="1" ht="24.95" customHeight="1" x14ac:dyDescent="0.25">
      <c r="A249" s="951">
        <v>230</v>
      </c>
      <c r="B249" s="666">
        <v>3639</v>
      </c>
      <c r="C249" s="667">
        <v>6121</v>
      </c>
      <c r="D249" s="1229">
        <v>8172</v>
      </c>
      <c r="E249" s="603" t="s">
        <v>336</v>
      </c>
      <c r="F249" s="110" t="s">
        <v>127</v>
      </c>
      <c r="G249" s="111">
        <v>400</v>
      </c>
      <c r="H249" s="111">
        <v>2013</v>
      </c>
      <c r="I249" s="112">
        <v>2019</v>
      </c>
      <c r="J249" s="462">
        <f t="shared" si="36"/>
        <v>20198</v>
      </c>
      <c r="K249" s="463">
        <v>99</v>
      </c>
      <c r="L249" s="464">
        <f>99+100</f>
        <v>199</v>
      </c>
      <c r="M249" s="465">
        <f t="shared" si="37"/>
        <v>12900</v>
      </c>
      <c r="N249" s="466">
        <f>8000-100</f>
        <v>7900</v>
      </c>
      <c r="O249" s="475">
        <f>12000-7000</f>
        <v>5000</v>
      </c>
      <c r="P249" s="467">
        <v>0</v>
      </c>
      <c r="Q249" s="464">
        <v>0</v>
      </c>
      <c r="R249" s="469">
        <v>7000</v>
      </c>
      <c r="S249" s="467">
        <v>0</v>
      </c>
      <c r="T249" s="464">
        <v>0</v>
      </c>
      <c r="U249" s="469">
        <v>0</v>
      </c>
      <c r="V249" s="467">
        <v>0</v>
      </c>
      <c r="W249" s="464">
        <v>0</v>
      </c>
      <c r="X249" s="469">
        <v>0</v>
      </c>
      <c r="Y249" s="467">
        <v>0</v>
      </c>
      <c r="Z249" s="468">
        <v>0</v>
      </c>
      <c r="AA249" s="478">
        <v>0</v>
      </c>
      <c r="AB249" s="25"/>
      <c r="AC249" s="25"/>
      <c r="AD249" s="25"/>
      <c r="AE249" s="25"/>
      <c r="AF249" s="25"/>
      <c r="AG249" s="25"/>
      <c r="AH249" s="25"/>
      <c r="AI249" s="25"/>
      <c r="AJ249" s="25"/>
      <c r="AK249" s="25"/>
      <c r="AL249" s="25"/>
      <c r="AM249" s="25"/>
      <c r="AN249" s="25"/>
      <c r="AO249" s="25"/>
      <c r="AP249" s="25"/>
      <c r="AQ249" s="25"/>
      <c r="AR249" s="25"/>
      <c r="AS249" s="25"/>
      <c r="AT249" s="25"/>
      <c r="AU249" s="25"/>
      <c r="AV249" s="25"/>
      <c r="AW249" s="25"/>
      <c r="AX249" s="25"/>
      <c r="AY249" s="25"/>
      <c r="AZ249" s="25"/>
      <c r="BA249" s="25"/>
      <c r="BB249" s="25"/>
      <c r="BC249" s="25"/>
      <c r="BD249" s="25"/>
      <c r="BE249" s="25"/>
      <c r="BF249" s="25"/>
      <c r="BG249" s="25"/>
      <c r="BH249" s="25"/>
      <c r="BI249" s="25"/>
      <c r="BJ249" s="25"/>
      <c r="BK249" s="25"/>
      <c r="BL249" s="25"/>
      <c r="BM249" s="25"/>
      <c r="BN249" s="25"/>
      <c r="BO249" s="25"/>
      <c r="BP249" s="25"/>
      <c r="BQ249" s="25"/>
      <c r="BR249" s="25"/>
      <c r="BS249" s="25"/>
      <c r="BT249" s="25"/>
      <c r="BU249" s="25"/>
      <c r="BV249" s="25"/>
      <c r="BW249" s="25"/>
      <c r="BX249" s="25"/>
      <c r="BY249" s="25"/>
      <c r="BZ249" s="25"/>
      <c r="CA249" s="25"/>
      <c r="CB249" s="25"/>
      <c r="CC249" s="25"/>
      <c r="CD249" s="25"/>
      <c r="CE249" s="25"/>
      <c r="CF249" s="25"/>
      <c r="CG249" s="25"/>
      <c r="CH249" s="25"/>
      <c r="CI249" s="25"/>
      <c r="CJ249" s="25"/>
      <c r="CK249" s="25"/>
      <c r="CL249" s="25"/>
      <c r="CM249" s="25"/>
      <c r="CN249" s="25"/>
      <c r="CO249" s="25"/>
      <c r="CP249" s="25"/>
      <c r="CQ249" s="25"/>
      <c r="CR249" s="25"/>
      <c r="CS249" s="25"/>
      <c r="CT249" s="25"/>
      <c r="CU249" s="25"/>
      <c r="CV249" s="25"/>
      <c r="CW249" s="25"/>
      <c r="CX249" s="25"/>
      <c r="CY249" s="25"/>
      <c r="CZ249" s="25"/>
      <c r="DA249" s="25"/>
      <c r="DB249" s="25"/>
      <c r="DC249" s="25"/>
      <c r="DD249" s="25"/>
      <c r="DE249" s="25"/>
      <c r="DF249" s="25"/>
      <c r="DG249" s="25"/>
      <c r="DH249" s="25"/>
      <c r="DI249" s="25"/>
      <c r="DJ249" s="25"/>
      <c r="DK249" s="25"/>
      <c r="DL249" s="25"/>
      <c r="DM249" s="25"/>
      <c r="DN249" s="25"/>
      <c r="DO249" s="25"/>
      <c r="DP249" s="25"/>
      <c r="DQ249" s="25"/>
    </row>
    <row r="250" spans="1:122" s="23" customFormat="1" ht="24.95" customHeight="1" x14ac:dyDescent="0.25">
      <c r="A250" s="951">
        <v>230</v>
      </c>
      <c r="B250" s="666">
        <v>3639</v>
      </c>
      <c r="C250" s="667">
        <v>6121</v>
      </c>
      <c r="D250" s="1231">
        <v>8204</v>
      </c>
      <c r="E250" s="472" t="s">
        <v>335</v>
      </c>
      <c r="F250" s="110" t="s">
        <v>127</v>
      </c>
      <c r="G250" s="111">
        <v>400</v>
      </c>
      <c r="H250" s="111">
        <v>2016</v>
      </c>
      <c r="I250" s="112">
        <v>2025</v>
      </c>
      <c r="J250" s="462">
        <f t="shared" si="36"/>
        <v>584176</v>
      </c>
      <c r="K250" s="463">
        <v>0</v>
      </c>
      <c r="L250" s="464">
        <v>0</v>
      </c>
      <c r="M250" s="465">
        <f t="shared" si="37"/>
        <v>3376</v>
      </c>
      <c r="N250" s="466">
        <f>4980-1604</f>
        <v>3376</v>
      </c>
      <c r="O250" s="475">
        <v>0</v>
      </c>
      <c r="P250" s="467">
        <v>0</v>
      </c>
      <c r="Q250" s="464">
        <v>0</v>
      </c>
      <c r="R250" s="469">
        <v>1000</v>
      </c>
      <c r="S250" s="467">
        <v>0</v>
      </c>
      <c r="T250" s="464">
        <v>0</v>
      </c>
      <c r="U250" s="469">
        <v>20000</v>
      </c>
      <c r="V250" s="467">
        <v>0</v>
      </c>
      <c r="W250" s="464">
        <v>0</v>
      </c>
      <c r="X250" s="469">
        <v>50000</v>
      </c>
      <c r="Y250" s="467">
        <v>0</v>
      </c>
      <c r="Z250" s="468">
        <v>0</v>
      </c>
      <c r="AA250" s="478">
        <v>509800</v>
      </c>
      <c r="AB250" s="25"/>
      <c r="AC250" s="25"/>
      <c r="AD250" s="25"/>
      <c r="AE250" s="25"/>
      <c r="AF250" s="25"/>
      <c r="AG250" s="25"/>
      <c r="AH250" s="25"/>
      <c r="AI250" s="25"/>
      <c r="AJ250" s="25"/>
      <c r="AK250" s="25"/>
      <c r="AL250" s="25"/>
      <c r="AM250" s="25"/>
      <c r="AN250" s="25"/>
      <c r="AO250" s="25"/>
      <c r="AP250" s="25"/>
      <c r="AQ250" s="25"/>
      <c r="AR250" s="25"/>
      <c r="AS250" s="25"/>
      <c r="AT250" s="25"/>
      <c r="AU250" s="25"/>
      <c r="AV250" s="25"/>
      <c r="AW250" s="25"/>
      <c r="AX250" s="25"/>
      <c r="AY250" s="25"/>
      <c r="AZ250" s="25"/>
      <c r="BA250" s="25"/>
      <c r="BB250" s="25"/>
      <c r="BC250" s="25"/>
      <c r="BD250" s="25"/>
      <c r="BE250" s="25"/>
      <c r="BF250" s="25"/>
      <c r="BG250" s="25"/>
      <c r="BH250" s="25"/>
      <c r="BI250" s="25"/>
      <c r="BJ250" s="25"/>
      <c r="BK250" s="25"/>
      <c r="BL250" s="25"/>
      <c r="BM250" s="25"/>
      <c r="BN250" s="25"/>
      <c r="BO250" s="25"/>
      <c r="BP250" s="25"/>
      <c r="BQ250" s="25"/>
      <c r="BR250" s="25"/>
      <c r="BS250" s="25"/>
      <c r="BT250" s="25"/>
      <c r="BU250" s="25"/>
      <c r="BV250" s="25"/>
      <c r="BW250" s="25"/>
      <c r="BX250" s="25"/>
      <c r="BY250" s="25"/>
      <c r="BZ250" s="25"/>
      <c r="CA250" s="25"/>
      <c r="CB250" s="25"/>
      <c r="CC250" s="25"/>
      <c r="CD250" s="25"/>
      <c r="CE250" s="25"/>
      <c r="CF250" s="25"/>
      <c r="CG250" s="25"/>
      <c r="CH250" s="25"/>
      <c r="CI250" s="25"/>
      <c r="CJ250" s="25"/>
      <c r="CK250" s="25"/>
      <c r="CL250" s="25"/>
      <c r="CM250" s="25"/>
      <c r="CN250" s="25"/>
      <c r="CO250" s="25"/>
      <c r="CP250" s="25"/>
      <c r="CQ250" s="25"/>
      <c r="CR250" s="25"/>
      <c r="CS250" s="25"/>
      <c r="CT250" s="25"/>
      <c r="CU250" s="25"/>
      <c r="CV250" s="25"/>
      <c r="CW250" s="25"/>
      <c r="CX250" s="25"/>
      <c r="CY250" s="25"/>
      <c r="CZ250" s="25"/>
      <c r="DA250" s="25"/>
      <c r="DB250" s="25"/>
      <c r="DC250" s="25"/>
      <c r="DD250" s="25"/>
      <c r="DE250" s="25"/>
      <c r="DF250" s="25"/>
      <c r="DG250" s="25"/>
      <c r="DH250" s="25"/>
      <c r="DI250" s="25"/>
      <c r="DJ250" s="25"/>
      <c r="DK250" s="25"/>
      <c r="DL250" s="25"/>
      <c r="DM250" s="25"/>
      <c r="DN250" s="25"/>
      <c r="DO250" s="25"/>
      <c r="DP250" s="25"/>
      <c r="DQ250" s="25"/>
    </row>
    <row r="251" spans="1:122" s="23" customFormat="1" ht="24.95" customHeight="1" x14ac:dyDescent="0.25">
      <c r="A251" s="951">
        <v>230</v>
      </c>
      <c r="B251" s="666">
        <v>3639</v>
      </c>
      <c r="C251" s="667">
        <v>6121</v>
      </c>
      <c r="D251" s="1230">
        <v>8207</v>
      </c>
      <c r="E251" s="955" t="s">
        <v>334</v>
      </c>
      <c r="F251" s="110"/>
      <c r="G251" s="111">
        <v>400</v>
      </c>
      <c r="H251" s="111">
        <v>2016</v>
      </c>
      <c r="I251" s="112">
        <v>2020</v>
      </c>
      <c r="J251" s="462">
        <f t="shared" si="36"/>
        <v>13846</v>
      </c>
      <c r="K251" s="463">
        <v>0</v>
      </c>
      <c r="L251" s="464">
        <f>3846+187</f>
        <v>4033</v>
      </c>
      <c r="M251" s="465">
        <f t="shared" si="37"/>
        <v>4813</v>
      </c>
      <c r="N251" s="466">
        <v>915</v>
      </c>
      <c r="O251" s="475">
        <v>3898</v>
      </c>
      <c r="P251" s="467">
        <v>0</v>
      </c>
      <c r="Q251" s="464">
        <v>0</v>
      </c>
      <c r="R251" s="469">
        <v>5000</v>
      </c>
      <c r="S251" s="467">
        <v>0</v>
      </c>
      <c r="T251" s="464">
        <v>0</v>
      </c>
      <c r="U251" s="469">
        <v>0</v>
      </c>
      <c r="V251" s="467">
        <v>0</v>
      </c>
      <c r="W251" s="464">
        <v>0</v>
      </c>
      <c r="X251" s="469">
        <v>0</v>
      </c>
      <c r="Y251" s="467">
        <v>0</v>
      </c>
      <c r="Z251" s="468">
        <v>0</v>
      </c>
      <c r="AA251" s="478">
        <v>0</v>
      </c>
      <c r="AB251" s="25"/>
      <c r="AC251" s="25"/>
      <c r="AD251" s="25"/>
      <c r="AE251" s="25"/>
      <c r="AF251" s="25"/>
      <c r="AG251" s="25"/>
      <c r="AH251" s="25"/>
      <c r="AI251" s="25"/>
      <c r="AJ251" s="25"/>
      <c r="AK251" s="25"/>
      <c r="AL251" s="25"/>
      <c r="AM251" s="25"/>
      <c r="AN251" s="25"/>
      <c r="AO251" s="25"/>
      <c r="AP251" s="25"/>
      <c r="AQ251" s="25"/>
      <c r="AR251" s="25"/>
      <c r="AS251" s="25"/>
      <c r="AT251" s="25"/>
      <c r="AU251" s="25"/>
      <c r="AV251" s="25"/>
      <c r="AW251" s="25"/>
      <c r="AX251" s="25"/>
      <c r="AY251" s="25"/>
      <c r="AZ251" s="25"/>
      <c r="BA251" s="25"/>
      <c r="BB251" s="25"/>
      <c r="BC251" s="25"/>
      <c r="BD251" s="25"/>
      <c r="BE251" s="25"/>
      <c r="BF251" s="25"/>
      <c r="BG251" s="25"/>
      <c r="BH251" s="25"/>
      <c r="BI251" s="25"/>
      <c r="BJ251" s="25"/>
      <c r="BK251" s="25"/>
      <c r="BL251" s="25"/>
      <c r="BM251" s="25"/>
      <c r="BN251" s="25"/>
      <c r="BO251" s="25"/>
      <c r="BP251" s="25"/>
      <c r="BQ251" s="25"/>
      <c r="BR251" s="25"/>
      <c r="BS251" s="25"/>
      <c r="BT251" s="25"/>
      <c r="BU251" s="25"/>
      <c r="BV251" s="25"/>
      <c r="BW251" s="25"/>
      <c r="BX251" s="25"/>
      <c r="BY251" s="25"/>
      <c r="BZ251" s="25"/>
      <c r="CA251" s="25"/>
      <c r="CB251" s="25"/>
      <c r="CC251" s="25"/>
      <c r="CD251" s="25"/>
      <c r="CE251" s="25"/>
      <c r="CF251" s="25"/>
      <c r="CG251" s="25"/>
      <c r="CH251" s="25"/>
      <c r="CI251" s="25"/>
      <c r="CJ251" s="25"/>
      <c r="CK251" s="25"/>
      <c r="CL251" s="25"/>
      <c r="CM251" s="25"/>
      <c r="CN251" s="25"/>
      <c r="CO251" s="25"/>
      <c r="CP251" s="25"/>
      <c r="CQ251" s="25"/>
      <c r="CR251" s="25"/>
      <c r="CS251" s="25"/>
      <c r="CT251" s="25"/>
      <c r="CU251" s="25"/>
      <c r="CV251" s="25"/>
      <c r="CW251" s="25"/>
      <c r="CX251" s="25"/>
      <c r="CY251" s="25"/>
      <c r="CZ251" s="25"/>
      <c r="DA251" s="25"/>
      <c r="DB251" s="25"/>
      <c r="DC251" s="25"/>
      <c r="DD251" s="25"/>
      <c r="DE251" s="25"/>
      <c r="DF251" s="25"/>
      <c r="DG251" s="25"/>
      <c r="DH251" s="25"/>
      <c r="DI251" s="25"/>
      <c r="DJ251" s="25"/>
      <c r="DK251" s="25"/>
      <c r="DL251" s="25"/>
      <c r="DM251" s="25"/>
      <c r="DN251" s="25"/>
      <c r="DO251" s="25"/>
      <c r="DP251" s="25"/>
      <c r="DQ251" s="25"/>
    </row>
    <row r="252" spans="1:122" s="23" customFormat="1" ht="24.95" customHeight="1" x14ac:dyDescent="0.25">
      <c r="A252" s="951">
        <v>230</v>
      </c>
      <c r="B252" s="666">
        <v>3639</v>
      </c>
      <c r="C252" s="667">
        <v>6121</v>
      </c>
      <c r="D252" s="1230">
        <v>8208</v>
      </c>
      <c r="E252" s="915" t="s">
        <v>333</v>
      </c>
      <c r="F252" s="954" t="s">
        <v>332</v>
      </c>
      <c r="G252" s="953">
        <v>400</v>
      </c>
      <c r="H252" s="953">
        <v>2017</v>
      </c>
      <c r="I252" s="952">
        <v>2018</v>
      </c>
      <c r="J252" s="462">
        <f t="shared" si="36"/>
        <v>3325</v>
      </c>
      <c r="K252" s="463">
        <v>394</v>
      </c>
      <c r="L252" s="464">
        <f>2452+46</f>
        <v>2498</v>
      </c>
      <c r="M252" s="465">
        <f t="shared" si="37"/>
        <v>433</v>
      </c>
      <c r="N252" s="466">
        <v>433</v>
      </c>
      <c r="O252" s="475">
        <v>0</v>
      </c>
      <c r="P252" s="467">
        <v>0</v>
      </c>
      <c r="Q252" s="464">
        <v>0</v>
      </c>
      <c r="R252" s="469">
        <v>0</v>
      </c>
      <c r="S252" s="467">
        <v>0</v>
      </c>
      <c r="T252" s="464">
        <v>0</v>
      </c>
      <c r="U252" s="469">
        <v>0</v>
      </c>
      <c r="V252" s="467">
        <v>0</v>
      </c>
      <c r="W252" s="464">
        <v>0</v>
      </c>
      <c r="X252" s="469">
        <v>0</v>
      </c>
      <c r="Y252" s="467">
        <v>0</v>
      </c>
      <c r="Z252" s="468">
        <v>0</v>
      </c>
      <c r="AA252" s="478">
        <v>0</v>
      </c>
      <c r="AB252" s="25"/>
      <c r="AC252" s="25"/>
      <c r="AD252" s="25"/>
      <c r="AE252" s="25"/>
      <c r="AF252" s="25"/>
      <c r="AG252" s="25"/>
      <c r="AH252" s="25"/>
      <c r="AI252" s="25"/>
      <c r="AJ252" s="25"/>
      <c r="AK252" s="25"/>
      <c r="AL252" s="25"/>
      <c r="AM252" s="25"/>
      <c r="AN252" s="25"/>
      <c r="AO252" s="25"/>
      <c r="AP252" s="25"/>
      <c r="AQ252" s="25"/>
      <c r="AR252" s="25"/>
      <c r="AS252" s="25"/>
      <c r="AT252" s="25"/>
      <c r="AU252" s="25"/>
      <c r="AV252" s="25"/>
      <c r="AW252" s="25"/>
      <c r="AX252" s="25"/>
      <c r="AY252" s="25"/>
      <c r="AZ252" s="25"/>
      <c r="BA252" s="25"/>
      <c r="BB252" s="25"/>
      <c r="BC252" s="25"/>
      <c r="BD252" s="25"/>
      <c r="BE252" s="25"/>
      <c r="BF252" s="25"/>
      <c r="BG252" s="25"/>
      <c r="BH252" s="25"/>
      <c r="BI252" s="25"/>
      <c r="BJ252" s="25"/>
      <c r="BK252" s="25"/>
      <c r="BL252" s="25"/>
      <c r="BM252" s="25"/>
      <c r="BN252" s="25"/>
      <c r="BO252" s="25"/>
      <c r="BP252" s="25"/>
      <c r="BQ252" s="25"/>
      <c r="BR252" s="25"/>
      <c r="BS252" s="25"/>
      <c r="BT252" s="25"/>
      <c r="BU252" s="25"/>
      <c r="BV252" s="25"/>
      <c r="BW252" s="25"/>
      <c r="BX252" s="25"/>
      <c r="BY252" s="25"/>
      <c r="BZ252" s="25"/>
      <c r="CA252" s="25"/>
      <c r="CB252" s="25"/>
      <c r="CC252" s="25"/>
      <c r="CD252" s="25"/>
      <c r="CE252" s="25"/>
      <c r="CF252" s="25"/>
      <c r="CG252" s="25"/>
      <c r="CH252" s="25"/>
      <c r="CI252" s="25"/>
      <c r="CJ252" s="25"/>
      <c r="CK252" s="25"/>
      <c r="CL252" s="25"/>
      <c r="CM252" s="25"/>
      <c r="CN252" s="25"/>
      <c r="CO252" s="25"/>
      <c r="CP252" s="25"/>
      <c r="CQ252" s="25"/>
      <c r="CR252" s="25"/>
      <c r="CS252" s="25"/>
      <c r="CT252" s="25"/>
      <c r="CU252" s="25"/>
      <c r="CV252" s="25"/>
      <c r="CW252" s="25"/>
      <c r="CX252" s="25"/>
      <c r="CY252" s="25"/>
      <c r="CZ252" s="25"/>
      <c r="DA252" s="25"/>
      <c r="DB252" s="25"/>
      <c r="DC252" s="25"/>
      <c r="DD252" s="25"/>
      <c r="DE252" s="25"/>
      <c r="DF252" s="25"/>
      <c r="DG252" s="25"/>
      <c r="DH252" s="25"/>
      <c r="DI252" s="25"/>
      <c r="DJ252" s="25"/>
      <c r="DK252" s="25"/>
      <c r="DL252" s="25"/>
      <c r="DM252" s="25"/>
      <c r="DN252" s="25"/>
      <c r="DO252" s="25"/>
      <c r="DP252" s="25"/>
      <c r="DQ252" s="25"/>
    </row>
    <row r="253" spans="1:122" s="23" customFormat="1" ht="24.95" customHeight="1" x14ac:dyDescent="0.25">
      <c r="A253" s="951">
        <v>230</v>
      </c>
      <c r="B253" s="781">
        <v>3639</v>
      </c>
      <c r="C253" s="782">
        <v>6121</v>
      </c>
      <c r="D253" s="1247">
        <v>8233</v>
      </c>
      <c r="E253" s="576" t="s">
        <v>331</v>
      </c>
      <c r="F253" s="110" t="s">
        <v>194</v>
      </c>
      <c r="G253" s="931">
        <v>400</v>
      </c>
      <c r="H253" s="931">
        <v>2018</v>
      </c>
      <c r="I253" s="931">
        <v>2020</v>
      </c>
      <c r="J253" s="462">
        <f t="shared" si="36"/>
        <v>51825</v>
      </c>
      <c r="K253" s="463">
        <v>0</v>
      </c>
      <c r="L253" s="464">
        <v>325</v>
      </c>
      <c r="M253" s="465">
        <f t="shared" si="37"/>
        <v>1500</v>
      </c>
      <c r="N253" s="929">
        <v>0</v>
      </c>
      <c r="O253" s="724">
        <v>1500</v>
      </c>
      <c r="P253" s="467">
        <v>0</v>
      </c>
      <c r="Q253" s="464">
        <v>0</v>
      </c>
      <c r="R253" s="469">
        <v>50000</v>
      </c>
      <c r="S253" s="468">
        <v>0</v>
      </c>
      <c r="T253" s="464">
        <v>0</v>
      </c>
      <c r="U253" s="722">
        <v>0</v>
      </c>
      <c r="V253" s="467">
        <v>0</v>
      </c>
      <c r="W253" s="464">
        <v>0</v>
      </c>
      <c r="X253" s="723">
        <v>0</v>
      </c>
      <c r="Y253" s="467">
        <v>0</v>
      </c>
      <c r="Z253" s="468">
        <v>0</v>
      </c>
      <c r="AA253" s="478">
        <v>0</v>
      </c>
      <c r="AB253" s="25"/>
      <c r="AC253" s="25"/>
      <c r="AD253" s="25"/>
      <c r="AE253" s="25"/>
      <c r="AF253" s="25"/>
      <c r="AG253" s="25"/>
      <c r="AH253" s="25"/>
      <c r="AI253" s="25"/>
      <c r="AJ253" s="25"/>
      <c r="AK253" s="25"/>
      <c r="AL253" s="25"/>
      <c r="AM253" s="25"/>
      <c r="AN253" s="25"/>
      <c r="AO253" s="25"/>
      <c r="AP253" s="25"/>
      <c r="AQ253" s="25"/>
      <c r="AR253" s="25"/>
      <c r="AS253" s="25"/>
      <c r="AT253" s="25"/>
      <c r="AU253" s="25"/>
      <c r="AV253" s="25"/>
      <c r="AW253" s="25"/>
      <c r="AX253" s="25"/>
      <c r="AY253" s="25"/>
      <c r="AZ253" s="25"/>
      <c r="BA253" s="25"/>
      <c r="BB253" s="25"/>
      <c r="BC253" s="25"/>
      <c r="BD253" s="25"/>
      <c r="BE253" s="25"/>
      <c r="BF253" s="25"/>
      <c r="BG253" s="25"/>
      <c r="BH253" s="25"/>
      <c r="BI253" s="25"/>
      <c r="BJ253" s="25"/>
      <c r="BK253" s="25"/>
      <c r="BL253" s="25"/>
      <c r="BM253" s="25"/>
      <c r="BN253" s="25"/>
      <c r="BO253" s="25"/>
      <c r="BP253" s="25"/>
      <c r="BQ253" s="25"/>
      <c r="BR253" s="25"/>
      <c r="BS253" s="25"/>
      <c r="BT253" s="25"/>
      <c r="BU253" s="25"/>
      <c r="BV253" s="25"/>
      <c r="BW253" s="25"/>
      <c r="BX253" s="25"/>
      <c r="BY253" s="25"/>
      <c r="BZ253" s="25"/>
      <c r="CA253" s="25"/>
      <c r="CB253" s="25"/>
      <c r="CC253" s="25"/>
      <c r="CD253" s="25"/>
      <c r="CE253" s="25"/>
      <c r="CF253" s="25"/>
      <c r="CG253" s="25"/>
      <c r="CH253" s="25"/>
      <c r="CI253" s="25"/>
      <c r="CJ253" s="25"/>
      <c r="CK253" s="25"/>
      <c r="CL253" s="25"/>
      <c r="CM253" s="25"/>
      <c r="CN253" s="25"/>
      <c r="CO253" s="25"/>
      <c r="CP253" s="25"/>
      <c r="CQ253" s="25"/>
      <c r="CR253" s="25"/>
      <c r="CS253" s="25"/>
      <c r="CT253" s="25"/>
      <c r="CU253" s="25"/>
      <c r="CV253" s="25"/>
      <c r="CW253" s="25"/>
      <c r="CX253" s="25"/>
      <c r="CY253" s="25"/>
      <c r="CZ253" s="25"/>
      <c r="DA253" s="25"/>
      <c r="DB253" s="25"/>
      <c r="DC253" s="25"/>
      <c r="DD253" s="25"/>
      <c r="DE253" s="25"/>
      <c r="DF253" s="25"/>
      <c r="DG253" s="25"/>
      <c r="DH253" s="25"/>
      <c r="DI253" s="25"/>
      <c r="DJ253" s="25"/>
      <c r="DK253" s="25"/>
      <c r="DL253" s="25"/>
      <c r="DM253" s="25"/>
      <c r="DN253" s="25"/>
      <c r="DO253" s="25"/>
      <c r="DP253" s="25"/>
      <c r="DQ253" s="25"/>
    </row>
    <row r="254" spans="1:122" s="31" customFormat="1" ht="24.95" customHeight="1" x14ac:dyDescent="0.25">
      <c r="A254" s="950">
        <v>230</v>
      </c>
      <c r="B254" s="555">
        <v>3699</v>
      </c>
      <c r="C254" s="490">
        <v>6121</v>
      </c>
      <c r="D254" s="1249">
        <v>8216</v>
      </c>
      <c r="E254" s="576" t="s">
        <v>330</v>
      </c>
      <c r="F254" s="765" t="s">
        <v>127</v>
      </c>
      <c r="G254" s="440">
        <v>400</v>
      </c>
      <c r="H254" s="440">
        <v>2017</v>
      </c>
      <c r="I254" s="766">
        <v>2022</v>
      </c>
      <c r="J254" s="442">
        <f t="shared" si="36"/>
        <v>265750</v>
      </c>
      <c r="K254" s="443">
        <v>250</v>
      </c>
      <c r="L254" s="444">
        <f>5000+25</f>
        <v>5025</v>
      </c>
      <c r="M254" s="445">
        <f t="shared" si="37"/>
        <v>10475</v>
      </c>
      <c r="N254" s="446">
        <f>500-25</f>
        <v>475</v>
      </c>
      <c r="O254" s="447">
        <v>10000</v>
      </c>
      <c r="P254" s="448">
        <v>0</v>
      </c>
      <c r="Q254" s="444">
        <v>0</v>
      </c>
      <c r="R254" s="449">
        <v>30000</v>
      </c>
      <c r="S254" s="448">
        <v>0</v>
      </c>
      <c r="T254" s="444">
        <v>0</v>
      </c>
      <c r="U254" s="449">
        <v>20000</v>
      </c>
      <c r="V254" s="448">
        <v>0</v>
      </c>
      <c r="W254" s="444">
        <v>0</v>
      </c>
      <c r="X254" s="449">
        <v>200000</v>
      </c>
      <c r="Y254" s="448">
        <v>0</v>
      </c>
      <c r="Z254" s="492">
        <v>0</v>
      </c>
      <c r="AA254" s="493">
        <v>0</v>
      </c>
      <c r="AB254" s="25"/>
      <c r="AC254" s="25"/>
      <c r="AD254" s="25"/>
      <c r="AE254" s="25"/>
      <c r="AF254" s="25"/>
      <c r="AG254" s="25"/>
      <c r="AH254" s="25"/>
      <c r="AI254" s="25"/>
      <c r="AJ254" s="25"/>
      <c r="AK254" s="25"/>
      <c r="AL254" s="25"/>
      <c r="AM254" s="25"/>
      <c r="AN254" s="25"/>
      <c r="AO254" s="25"/>
      <c r="AP254" s="25"/>
      <c r="AQ254" s="25"/>
      <c r="AR254" s="25"/>
      <c r="AS254" s="25"/>
      <c r="AT254" s="25"/>
      <c r="AU254" s="25"/>
      <c r="AV254" s="25"/>
      <c r="AW254" s="25"/>
      <c r="AX254" s="25"/>
      <c r="AY254" s="25"/>
      <c r="AZ254" s="25"/>
      <c r="BA254" s="25"/>
      <c r="BB254" s="25"/>
      <c r="BC254" s="25"/>
      <c r="BD254" s="25"/>
      <c r="BE254" s="25"/>
      <c r="BF254" s="25"/>
      <c r="BG254" s="25"/>
      <c r="BH254" s="25"/>
      <c r="BI254" s="25"/>
      <c r="BJ254" s="25"/>
      <c r="BK254" s="25"/>
      <c r="BL254" s="25"/>
      <c r="BM254" s="25"/>
      <c r="BN254" s="25"/>
      <c r="BO254" s="25"/>
      <c r="BP254" s="25"/>
      <c r="BQ254" s="25"/>
      <c r="BR254" s="25"/>
      <c r="BS254" s="25"/>
      <c r="BT254" s="25"/>
      <c r="BU254" s="25"/>
      <c r="BV254" s="25"/>
      <c r="BW254" s="25"/>
      <c r="BX254" s="25"/>
      <c r="BY254" s="25"/>
      <c r="BZ254" s="25"/>
      <c r="CA254" s="25"/>
      <c r="CB254" s="25"/>
      <c r="CC254" s="25"/>
      <c r="CD254" s="25"/>
      <c r="CE254" s="25"/>
      <c r="CF254" s="25"/>
      <c r="CG254" s="25"/>
      <c r="CH254" s="25"/>
      <c r="CI254" s="25"/>
      <c r="CJ254" s="25"/>
      <c r="CK254" s="25"/>
      <c r="CL254" s="25"/>
      <c r="CM254" s="25"/>
      <c r="CN254" s="25"/>
      <c r="CO254" s="25"/>
      <c r="CP254" s="25"/>
      <c r="CQ254" s="25"/>
      <c r="CR254" s="25"/>
      <c r="CS254" s="25"/>
      <c r="CT254" s="25"/>
      <c r="CU254" s="25"/>
      <c r="CV254" s="25"/>
      <c r="CW254" s="25"/>
      <c r="CX254" s="25"/>
      <c r="CY254" s="25"/>
      <c r="CZ254" s="25"/>
      <c r="DA254" s="25"/>
      <c r="DB254" s="25"/>
      <c r="DC254" s="25"/>
      <c r="DD254" s="25"/>
      <c r="DE254" s="25"/>
      <c r="DF254" s="25"/>
      <c r="DG254" s="25"/>
      <c r="DH254" s="25"/>
      <c r="DI254" s="25"/>
      <c r="DJ254" s="25"/>
      <c r="DK254" s="25"/>
      <c r="DL254" s="25"/>
      <c r="DM254" s="25"/>
      <c r="DN254" s="25"/>
      <c r="DO254" s="25"/>
      <c r="DP254" s="25"/>
      <c r="DQ254" s="25"/>
    </row>
    <row r="255" spans="1:122" s="202" customFormat="1" ht="24.95" customHeight="1" x14ac:dyDescent="0.25">
      <c r="A255" s="949">
        <v>230</v>
      </c>
      <c r="B255" s="907">
        <v>3741</v>
      </c>
      <c r="C255" s="906">
        <v>6121</v>
      </c>
      <c r="D255" s="1243">
        <v>5014</v>
      </c>
      <c r="E255" s="912" t="s">
        <v>329</v>
      </c>
      <c r="F255" s="439" t="s">
        <v>123</v>
      </c>
      <c r="G255" s="440">
        <v>400</v>
      </c>
      <c r="H255" s="440">
        <v>2010</v>
      </c>
      <c r="I255" s="441">
        <v>2022</v>
      </c>
      <c r="J255" s="442">
        <f t="shared" si="36"/>
        <v>117464</v>
      </c>
      <c r="K255" s="443">
        <f>1998+44131</f>
        <v>46129</v>
      </c>
      <c r="L255" s="444">
        <v>44701</v>
      </c>
      <c r="M255" s="748">
        <f t="shared" si="37"/>
        <v>15634</v>
      </c>
      <c r="N255" s="446">
        <v>455</v>
      </c>
      <c r="O255" s="447">
        <v>15179</v>
      </c>
      <c r="P255" s="448">
        <v>0</v>
      </c>
      <c r="Q255" s="444">
        <v>0</v>
      </c>
      <c r="R255" s="449">
        <v>5000</v>
      </c>
      <c r="S255" s="448">
        <v>0</v>
      </c>
      <c r="T255" s="444">
        <v>0</v>
      </c>
      <c r="U255" s="449">
        <v>5000</v>
      </c>
      <c r="V255" s="448">
        <v>0</v>
      </c>
      <c r="W255" s="444">
        <v>0</v>
      </c>
      <c r="X255" s="449">
        <v>1000</v>
      </c>
      <c r="Y255" s="448">
        <v>0</v>
      </c>
      <c r="Z255" s="492">
        <v>0</v>
      </c>
      <c r="AA255" s="493">
        <v>0</v>
      </c>
      <c r="AB255" s="30"/>
      <c r="AC255" s="30"/>
      <c r="AD255" s="30"/>
      <c r="AE255" s="30"/>
      <c r="AF255" s="25"/>
      <c r="AG255" s="25"/>
      <c r="AH255" s="25"/>
      <c r="AI255" s="25"/>
      <c r="AJ255" s="25"/>
      <c r="AK255" s="25"/>
      <c r="AL255" s="25"/>
      <c r="AM255" s="25"/>
      <c r="AN255" s="25"/>
      <c r="AO255" s="25"/>
      <c r="AP255" s="25"/>
      <c r="AQ255" s="25"/>
      <c r="AR255" s="25"/>
      <c r="AS255" s="25"/>
      <c r="AT255" s="25"/>
      <c r="AU255" s="25"/>
      <c r="AV255" s="25"/>
      <c r="AW255" s="25"/>
      <c r="AX255" s="25"/>
      <c r="AY255" s="25"/>
      <c r="AZ255" s="25"/>
      <c r="BA255" s="25"/>
      <c r="BB255" s="25"/>
      <c r="BC255" s="25"/>
      <c r="BD255" s="25"/>
      <c r="BE255" s="25"/>
      <c r="BF255" s="25"/>
      <c r="BG255" s="25"/>
      <c r="BH255" s="25"/>
      <c r="BI255" s="25"/>
      <c r="BJ255" s="25"/>
      <c r="BK255" s="25"/>
      <c r="BL255" s="25"/>
      <c r="BM255" s="25"/>
      <c r="BN255" s="25"/>
      <c r="BO255" s="25"/>
      <c r="BP255" s="25"/>
      <c r="BQ255" s="25"/>
      <c r="BR255" s="25"/>
      <c r="BS255" s="25"/>
      <c r="BT255" s="25"/>
      <c r="BU255" s="25"/>
      <c r="BV255" s="25"/>
      <c r="BW255" s="25"/>
      <c r="BX255" s="25"/>
      <c r="BY255" s="25"/>
      <c r="BZ255" s="25"/>
      <c r="CA255" s="25"/>
      <c r="CB255" s="25"/>
      <c r="CC255" s="25"/>
      <c r="CD255" s="25"/>
      <c r="CE255" s="25"/>
      <c r="CF255" s="25"/>
      <c r="CG255" s="25"/>
      <c r="CH255" s="25"/>
      <c r="CI255" s="25"/>
      <c r="CJ255" s="25"/>
      <c r="CK255" s="25"/>
      <c r="CL255" s="25"/>
      <c r="CM255" s="25"/>
      <c r="CN255" s="25"/>
      <c r="CO255" s="25"/>
      <c r="CP255" s="25"/>
      <c r="CQ255" s="25"/>
      <c r="CR255" s="25"/>
      <c r="CS255" s="25"/>
      <c r="CT255" s="25"/>
      <c r="CU255" s="25"/>
      <c r="CV255" s="25"/>
      <c r="CW255" s="25"/>
      <c r="CX255" s="25"/>
      <c r="CY255" s="25"/>
      <c r="CZ255" s="25"/>
      <c r="DA255" s="25"/>
      <c r="DB255" s="25"/>
      <c r="DC255" s="25"/>
      <c r="DD255" s="25"/>
      <c r="DE255" s="25"/>
      <c r="DF255" s="25"/>
      <c r="DG255" s="25"/>
      <c r="DH255" s="25"/>
      <c r="DI255" s="25"/>
      <c r="DJ255" s="25"/>
      <c r="DK255" s="25"/>
      <c r="DL255" s="25"/>
      <c r="DM255" s="25"/>
      <c r="DN255" s="25"/>
      <c r="DO255" s="25"/>
      <c r="DP255" s="25"/>
      <c r="DQ255" s="25"/>
    </row>
    <row r="256" spans="1:122" s="26" customFormat="1" ht="24.95" customHeight="1" x14ac:dyDescent="0.25">
      <c r="A256" s="947">
        <v>230</v>
      </c>
      <c r="B256" s="666">
        <v>3741</v>
      </c>
      <c r="C256" s="667">
        <v>6121</v>
      </c>
      <c r="D256" s="1229">
        <v>8218</v>
      </c>
      <c r="E256" s="948" t="s">
        <v>328</v>
      </c>
      <c r="F256" s="439" t="s">
        <v>123</v>
      </c>
      <c r="G256" s="440">
        <v>400</v>
      </c>
      <c r="H256" s="440">
        <v>2017</v>
      </c>
      <c r="I256" s="441">
        <v>2020</v>
      </c>
      <c r="J256" s="442">
        <f t="shared" si="36"/>
        <v>31849</v>
      </c>
      <c r="K256" s="443">
        <v>0</v>
      </c>
      <c r="L256" s="444">
        <v>127</v>
      </c>
      <c r="M256" s="465">
        <f t="shared" si="37"/>
        <v>26722</v>
      </c>
      <c r="N256" s="446">
        <v>11722</v>
      </c>
      <c r="O256" s="447">
        <v>15000</v>
      </c>
      <c r="P256" s="448">
        <v>0</v>
      </c>
      <c r="Q256" s="444">
        <v>0</v>
      </c>
      <c r="R256" s="449">
        <v>5000</v>
      </c>
      <c r="S256" s="448">
        <v>0</v>
      </c>
      <c r="T256" s="444">
        <v>0</v>
      </c>
      <c r="U256" s="449">
        <v>0</v>
      </c>
      <c r="V256" s="448">
        <v>0</v>
      </c>
      <c r="W256" s="444">
        <v>0</v>
      </c>
      <c r="X256" s="449">
        <v>0</v>
      </c>
      <c r="Y256" s="448">
        <v>0</v>
      </c>
      <c r="Z256" s="492">
        <v>0</v>
      </c>
      <c r="AA256" s="493">
        <v>0</v>
      </c>
      <c r="AB256" s="30"/>
      <c r="AC256" s="30"/>
      <c r="AD256" s="30"/>
      <c r="AE256" s="30"/>
      <c r="AF256" s="25"/>
      <c r="AG256" s="25"/>
      <c r="AH256" s="25"/>
      <c r="AI256" s="25"/>
      <c r="AJ256" s="25"/>
      <c r="AK256" s="25"/>
      <c r="AL256" s="25"/>
      <c r="AM256" s="25"/>
      <c r="AN256" s="25"/>
      <c r="AO256" s="25"/>
      <c r="AP256" s="25"/>
      <c r="AQ256" s="25"/>
      <c r="AR256" s="25"/>
      <c r="AS256" s="25"/>
      <c r="AT256" s="25"/>
      <c r="AU256" s="25"/>
      <c r="AV256" s="25"/>
      <c r="AW256" s="25"/>
      <c r="AX256" s="25"/>
      <c r="AY256" s="25"/>
      <c r="AZ256" s="25"/>
      <c r="BA256" s="25"/>
      <c r="BB256" s="25"/>
      <c r="BC256" s="25"/>
      <c r="BD256" s="25"/>
      <c r="BE256" s="25"/>
      <c r="BF256" s="25"/>
      <c r="BG256" s="25"/>
      <c r="BH256" s="25"/>
      <c r="BI256" s="25"/>
      <c r="BJ256" s="25"/>
      <c r="BK256" s="25"/>
      <c r="BL256" s="25"/>
      <c r="BM256" s="25"/>
      <c r="BN256" s="25"/>
      <c r="BO256" s="25"/>
      <c r="BP256" s="25"/>
      <c r="BQ256" s="25"/>
      <c r="BR256" s="25"/>
      <c r="BS256" s="25"/>
      <c r="BT256" s="25"/>
      <c r="BU256" s="25"/>
      <c r="BV256" s="25"/>
      <c r="BW256" s="25"/>
      <c r="BX256" s="25"/>
      <c r="BY256" s="25"/>
      <c r="BZ256" s="25"/>
      <c r="CA256" s="25"/>
      <c r="CB256" s="25"/>
      <c r="CC256" s="25"/>
      <c r="CD256" s="25"/>
      <c r="CE256" s="25"/>
      <c r="CF256" s="25"/>
      <c r="CG256" s="25"/>
      <c r="CH256" s="25"/>
      <c r="CI256" s="25"/>
      <c r="CJ256" s="25"/>
      <c r="CK256" s="25"/>
      <c r="CL256" s="25"/>
      <c r="CM256" s="25"/>
      <c r="CN256" s="25"/>
      <c r="CO256" s="25"/>
      <c r="CP256" s="25"/>
      <c r="CQ256" s="25"/>
      <c r="CR256" s="25"/>
      <c r="CS256" s="25"/>
      <c r="CT256" s="25"/>
      <c r="CU256" s="25"/>
      <c r="CV256" s="25"/>
      <c r="CW256" s="25"/>
      <c r="CX256" s="25"/>
      <c r="CY256" s="25"/>
      <c r="CZ256" s="25"/>
      <c r="DA256" s="25"/>
      <c r="DB256" s="25"/>
      <c r="DC256" s="25"/>
      <c r="DD256" s="25"/>
      <c r="DE256" s="25"/>
      <c r="DF256" s="25"/>
      <c r="DG256" s="25"/>
      <c r="DH256" s="25"/>
      <c r="DI256" s="25"/>
      <c r="DJ256" s="25"/>
      <c r="DK256" s="25"/>
      <c r="DL256" s="25"/>
      <c r="DM256" s="25"/>
      <c r="DN256" s="25"/>
      <c r="DO256" s="25"/>
      <c r="DP256" s="25"/>
      <c r="DQ256" s="25"/>
    </row>
    <row r="257" spans="1:121" s="26" customFormat="1" ht="24.95" customHeight="1" x14ac:dyDescent="0.25">
      <c r="A257" s="947">
        <v>230</v>
      </c>
      <c r="B257" s="666">
        <v>3741</v>
      </c>
      <c r="C257" s="667">
        <v>6121</v>
      </c>
      <c r="D257" s="1231">
        <v>8222</v>
      </c>
      <c r="E257" s="897" t="s">
        <v>327</v>
      </c>
      <c r="F257" s="110" t="s">
        <v>123</v>
      </c>
      <c r="G257" s="111">
        <v>400</v>
      </c>
      <c r="H257" s="111">
        <v>2017</v>
      </c>
      <c r="I257" s="112">
        <v>2020</v>
      </c>
      <c r="J257" s="462">
        <f t="shared" si="36"/>
        <v>41000</v>
      </c>
      <c r="K257" s="463">
        <v>0</v>
      </c>
      <c r="L257" s="464">
        <v>103</v>
      </c>
      <c r="M257" s="465">
        <f t="shared" si="37"/>
        <v>897</v>
      </c>
      <c r="N257" s="466">
        <v>397</v>
      </c>
      <c r="O257" s="475">
        <f>5000-5000</f>
        <v>0</v>
      </c>
      <c r="P257" s="467">
        <v>0</v>
      </c>
      <c r="Q257" s="552">
        <v>500</v>
      </c>
      <c r="R257" s="469">
        <f>40000-40000</f>
        <v>0</v>
      </c>
      <c r="S257" s="467">
        <v>0</v>
      </c>
      <c r="T257" s="464">
        <v>0</v>
      </c>
      <c r="U257" s="469">
        <v>20000</v>
      </c>
      <c r="V257" s="467">
        <v>0</v>
      </c>
      <c r="W257" s="464">
        <v>0</v>
      </c>
      <c r="X257" s="469">
        <v>20000</v>
      </c>
      <c r="Y257" s="467">
        <v>0</v>
      </c>
      <c r="Z257" s="468">
        <v>0</v>
      </c>
      <c r="AA257" s="478">
        <v>0</v>
      </c>
      <c r="AB257" s="30"/>
      <c r="AC257" s="30"/>
      <c r="AD257" s="30"/>
      <c r="AE257" s="30"/>
      <c r="AF257" s="25"/>
      <c r="AG257" s="25"/>
      <c r="AH257" s="25"/>
      <c r="AI257" s="25"/>
      <c r="AJ257" s="25"/>
      <c r="AK257" s="25"/>
      <c r="AL257" s="25"/>
      <c r="AM257" s="25"/>
      <c r="AN257" s="25"/>
      <c r="AO257" s="25"/>
      <c r="AP257" s="25"/>
      <c r="AQ257" s="25"/>
      <c r="AR257" s="25"/>
      <c r="AS257" s="25"/>
      <c r="AT257" s="25"/>
      <c r="AU257" s="25"/>
      <c r="AV257" s="25"/>
      <c r="AW257" s="25"/>
      <c r="AX257" s="25"/>
      <c r="AY257" s="25"/>
      <c r="AZ257" s="25"/>
      <c r="BA257" s="25"/>
      <c r="BB257" s="25"/>
      <c r="BC257" s="25"/>
      <c r="BD257" s="25"/>
      <c r="BE257" s="25"/>
      <c r="BF257" s="25"/>
      <c r="BG257" s="25"/>
      <c r="BH257" s="25"/>
      <c r="BI257" s="25"/>
      <c r="BJ257" s="25"/>
      <c r="BK257" s="25"/>
      <c r="BL257" s="25"/>
      <c r="BM257" s="25"/>
      <c r="BN257" s="25"/>
      <c r="BO257" s="25"/>
      <c r="BP257" s="25"/>
      <c r="BQ257" s="25"/>
      <c r="BR257" s="25"/>
      <c r="BS257" s="25"/>
      <c r="BT257" s="25"/>
      <c r="BU257" s="25"/>
      <c r="BV257" s="25"/>
      <c r="BW257" s="25"/>
      <c r="BX257" s="25"/>
      <c r="BY257" s="25"/>
      <c r="BZ257" s="25"/>
      <c r="CA257" s="25"/>
      <c r="CB257" s="25"/>
      <c r="CC257" s="25"/>
      <c r="CD257" s="25"/>
      <c r="CE257" s="25"/>
      <c r="CF257" s="25"/>
      <c r="CG257" s="25"/>
      <c r="CH257" s="25"/>
      <c r="CI257" s="25"/>
      <c r="CJ257" s="25"/>
      <c r="CK257" s="25"/>
      <c r="CL257" s="25"/>
      <c r="CM257" s="25"/>
      <c r="CN257" s="25"/>
      <c r="CO257" s="25"/>
      <c r="CP257" s="25"/>
      <c r="CQ257" s="25"/>
      <c r="CR257" s="25"/>
      <c r="CS257" s="25"/>
      <c r="CT257" s="25"/>
      <c r="CU257" s="25"/>
      <c r="CV257" s="25"/>
      <c r="CW257" s="25"/>
      <c r="CX257" s="25"/>
      <c r="CY257" s="25"/>
      <c r="CZ257" s="25"/>
      <c r="DA257" s="25"/>
      <c r="DB257" s="25"/>
      <c r="DC257" s="25"/>
      <c r="DD257" s="25"/>
      <c r="DE257" s="25"/>
      <c r="DF257" s="25"/>
      <c r="DG257" s="25"/>
      <c r="DH257" s="25"/>
      <c r="DI257" s="25"/>
      <c r="DJ257" s="25"/>
      <c r="DK257" s="25"/>
      <c r="DL257" s="25"/>
      <c r="DM257" s="25"/>
      <c r="DN257" s="25"/>
      <c r="DO257" s="25"/>
      <c r="DP257" s="25"/>
      <c r="DQ257" s="25"/>
    </row>
    <row r="258" spans="1:121" s="558" customFormat="1" ht="24.95" customHeight="1" x14ac:dyDescent="0.25">
      <c r="A258" s="946">
        <v>230</v>
      </c>
      <c r="B258" s="727">
        <v>3741</v>
      </c>
      <c r="C258" s="728">
        <v>6121</v>
      </c>
      <c r="D258" s="1231">
        <v>8227</v>
      </c>
      <c r="E258" s="897" t="s">
        <v>326</v>
      </c>
      <c r="F258" s="110" t="s">
        <v>123</v>
      </c>
      <c r="G258" s="111">
        <v>400</v>
      </c>
      <c r="H258" s="111">
        <v>2017</v>
      </c>
      <c r="I258" s="112">
        <v>2020</v>
      </c>
      <c r="J258" s="462">
        <f t="shared" si="36"/>
        <v>50500</v>
      </c>
      <c r="K258" s="463">
        <v>0</v>
      </c>
      <c r="L258" s="464">
        <v>0</v>
      </c>
      <c r="M258" s="445">
        <f t="shared" si="37"/>
        <v>500</v>
      </c>
      <c r="N258" s="466">
        <v>0</v>
      </c>
      <c r="O258" s="475">
        <f>15000-15000</f>
        <v>0</v>
      </c>
      <c r="P258" s="467">
        <v>0</v>
      </c>
      <c r="Q258" s="552">
        <v>500</v>
      </c>
      <c r="R258" s="469">
        <f>50000-50000</f>
        <v>0</v>
      </c>
      <c r="S258" s="467">
        <v>0</v>
      </c>
      <c r="T258" s="464">
        <v>0</v>
      </c>
      <c r="U258" s="469">
        <v>0</v>
      </c>
      <c r="V258" s="467">
        <v>0</v>
      </c>
      <c r="W258" s="464">
        <v>0</v>
      </c>
      <c r="X258" s="469">
        <v>10000</v>
      </c>
      <c r="Y258" s="467">
        <v>0</v>
      </c>
      <c r="Z258" s="468">
        <v>0</v>
      </c>
      <c r="AA258" s="478">
        <v>40000</v>
      </c>
      <c r="AB258" s="25"/>
      <c r="AC258" s="25"/>
      <c r="AD258" s="25"/>
      <c r="AE258" s="25"/>
      <c r="AF258" s="25"/>
      <c r="AG258" s="25"/>
      <c r="AH258" s="25"/>
      <c r="AI258" s="25"/>
      <c r="AJ258" s="25"/>
      <c r="AK258" s="25"/>
      <c r="AL258" s="25"/>
      <c r="AM258" s="25"/>
      <c r="AN258" s="25"/>
      <c r="AO258" s="25"/>
      <c r="AP258" s="25"/>
      <c r="AQ258" s="25"/>
      <c r="AR258" s="25"/>
      <c r="AS258" s="25"/>
      <c r="AT258" s="25"/>
      <c r="AU258" s="25"/>
      <c r="AV258" s="25"/>
      <c r="AW258" s="25"/>
      <c r="AX258" s="25"/>
      <c r="AY258" s="25"/>
      <c r="AZ258" s="25"/>
      <c r="BA258" s="25"/>
      <c r="BB258" s="25"/>
      <c r="BC258" s="25"/>
      <c r="BD258" s="25"/>
      <c r="BE258" s="25"/>
      <c r="BF258" s="25"/>
      <c r="BG258" s="25"/>
      <c r="BH258" s="25"/>
      <c r="BI258" s="25"/>
      <c r="BJ258" s="25"/>
      <c r="BK258" s="25"/>
      <c r="BL258" s="25"/>
      <c r="BM258" s="25"/>
      <c r="BN258" s="25"/>
      <c r="BO258" s="25"/>
      <c r="BP258" s="25"/>
      <c r="BQ258" s="25"/>
      <c r="BR258" s="25"/>
      <c r="BS258" s="25"/>
      <c r="BT258" s="25"/>
      <c r="BU258" s="25"/>
      <c r="BV258" s="25"/>
      <c r="BW258" s="25"/>
      <c r="BX258" s="25"/>
      <c r="BY258" s="25"/>
      <c r="BZ258" s="25"/>
      <c r="CA258" s="25"/>
      <c r="CB258" s="25"/>
      <c r="CC258" s="25"/>
      <c r="CD258" s="25"/>
      <c r="CE258" s="25"/>
      <c r="CF258" s="25"/>
      <c r="CG258" s="25"/>
      <c r="CH258" s="25"/>
      <c r="CI258" s="25"/>
      <c r="CJ258" s="25"/>
      <c r="CK258" s="25"/>
      <c r="CL258" s="25"/>
      <c r="CM258" s="25"/>
      <c r="CN258" s="25"/>
      <c r="CO258" s="25"/>
      <c r="CP258" s="25"/>
      <c r="CQ258" s="25"/>
      <c r="CR258" s="25"/>
      <c r="CS258" s="25"/>
      <c r="CT258" s="25"/>
      <c r="CU258" s="25"/>
      <c r="CV258" s="25"/>
      <c r="CW258" s="25"/>
      <c r="CX258" s="25"/>
      <c r="CY258" s="25"/>
      <c r="CZ258" s="25"/>
      <c r="DA258" s="25"/>
      <c r="DB258" s="25"/>
      <c r="DC258" s="25"/>
      <c r="DD258" s="25"/>
      <c r="DE258" s="25"/>
      <c r="DF258" s="25"/>
      <c r="DG258" s="25"/>
      <c r="DH258" s="25"/>
      <c r="DI258" s="25"/>
      <c r="DJ258" s="25"/>
      <c r="DK258" s="25"/>
      <c r="DL258" s="25"/>
      <c r="DM258" s="25"/>
      <c r="DN258" s="25"/>
      <c r="DO258" s="25"/>
      <c r="DP258" s="25"/>
      <c r="DQ258" s="25"/>
    </row>
    <row r="259" spans="1:121" s="125" customFormat="1" ht="24.95" customHeight="1" x14ac:dyDescent="0.25">
      <c r="A259" s="600">
        <v>230</v>
      </c>
      <c r="B259" s="555">
        <v>3745</v>
      </c>
      <c r="C259" s="490">
        <v>6121</v>
      </c>
      <c r="D259" s="1228">
        <v>5045</v>
      </c>
      <c r="E259" s="942" t="s">
        <v>325</v>
      </c>
      <c r="F259" s="765" t="s">
        <v>127</v>
      </c>
      <c r="G259" s="936">
        <v>400</v>
      </c>
      <c r="H259" s="936">
        <v>2019</v>
      </c>
      <c r="I259" s="945">
        <v>2019</v>
      </c>
      <c r="J259" s="944">
        <f t="shared" ref="J259:J290" si="38">K259+L259+M259+SUM(R259:AA259)</f>
        <v>5780</v>
      </c>
      <c r="K259" s="443">
        <v>0</v>
      </c>
      <c r="L259" s="444">
        <v>280</v>
      </c>
      <c r="M259" s="445">
        <f t="shared" si="37"/>
        <v>5500</v>
      </c>
      <c r="N259" s="939">
        <v>500</v>
      </c>
      <c r="O259" s="938">
        <f>8920-8480+560+2426+1574</f>
        <v>5000</v>
      </c>
      <c r="P259" s="448">
        <v>0</v>
      </c>
      <c r="Q259" s="444">
        <f>4000-2426-1574</f>
        <v>0</v>
      </c>
      <c r="R259" s="449">
        <v>0</v>
      </c>
      <c r="S259" s="448">
        <v>0</v>
      </c>
      <c r="T259" s="492">
        <v>0</v>
      </c>
      <c r="U259" s="505">
        <v>0</v>
      </c>
      <c r="V259" s="448">
        <v>0</v>
      </c>
      <c r="W259" s="444">
        <v>0</v>
      </c>
      <c r="X259" s="609">
        <v>0</v>
      </c>
      <c r="Y259" s="448">
        <v>0</v>
      </c>
      <c r="Z259" s="540">
        <v>0</v>
      </c>
      <c r="AA259" s="493">
        <v>0</v>
      </c>
      <c r="AB259" s="1062"/>
      <c r="AC259" s="25"/>
      <c r="AD259" s="25"/>
      <c r="AE259" s="25"/>
      <c r="AF259" s="25"/>
      <c r="AG259" s="25"/>
      <c r="AH259" s="25"/>
      <c r="AI259" s="25"/>
      <c r="AJ259" s="25"/>
      <c r="AK259" s="25"/>
      <c r="AL259" s="25"/>
      <c r="AM259" s="25"/>
      <c r="AN259" s="25"/>
      <c r="AO259" s="25"/>
      <c r="AP259" s="25"/>
      <c r="AQ259" s="25"/>
      <c r="AR259" s="25"/>
      <c r="AS259" s="25"/>
      <c r="AT259" s="25"/>
      <c r="AU259" s="25"/>
      <c r="AV259" s="25"/>
      <c r="AW259" s="25"/>
      <c r="AX259" s="25"/>
      <c r="AY259" s="25"/>
      <c r="AZ259" s="25"/>
      <c r="BA259" s="25"/>
      <c r="BB259" s="25"/>
      <c r="BC259" s="25"/>
      <c r="BD259" s="25"/>
      <c r="BE259" s="25"/>
      <c r="BF259" s="25"/>
      <c r="BG259" s="25"/>
      <c r="BH259" s="25"/>
      <c r="BI259" s="25"/>
      <c r="BJ259" s="25"/>
      <c r="BK259" s="25"/>
      <c r="BL259" s="25"/>
      <c r="BM259" s="25"/>
      <c r="BN259" s="25"/>
      <c r="BO259" s="25"/>
      <c r="BP259" s="25"/>
      <c r="BQ259" s="25"/>
      <c r="BR259" s="25"/>
      <c r="BS259" s="25"/>
      <c r="BT259" s="25"/>
      <c r="BU259" s="25"/>
      <c r="BV259" s="25"/>
      <c r="BW259" s="25"/>
      <c r="BX259" s="25"/>
      <c r="BY259" s="25"/>
      <c r="BZ259" s="25"/>
      <c r="CA259" s="25"/>
      <c r="CB259" s="25"/>
      <c r="CC259" s="25"/>
      <c r="CD259" s="25"/>
      <c r="CE259" s="25"/>
      <c r="CF259" s="25"/>
      <c r="CG259" s="25"/>
      <c r="CH259" s="25"/>
      <c r="CI259" s="25"/>
      <c r="CJ259" s="25"/>
      <c r="CK259" s="25"/>
      <c r="CL259" s="25"/>
      <c r="CM259" s="25"/>
      <c r="CN259" s="25"/>
      <c r="CO259" s="25"/>
      <c r="CP259" s="25"/>
      <c r="CQ259" s="25"/>
      <c r="CR259" s="25"/>
      <c r="CS259" s="25"/>
      <c r="CT259" s="25"/>
      <c r="CU259" s="25"/>
      <c r="CV259" s="25"/>
      <c r="CW259" s="25"/>
      <c r="CX259" s="25"/>
      <c r="CY259" s="25"/>
      <c r="CZ259" s="25"/>
      <c r="DA259" s="25"/>
      <c r="DB259" s="25"/>
      <c r="DC259" s="25"/>
      <c r="DD259" s="25"/>
      <c r="DE259" s="25"/>
      <c r="DF259" s="25"/>
      <c r="DG259" s="25"/>
      <c r="DH259" s="25"/>
      <c r="DI259" s="25"/>
      <c r="DJ259" s="25"/>
      <c r="DK259" s="25"/>
      <c r="DL259" s="25"/>
      <c r="DM259" s="25"/>
      <c r="DN259" s="25"/>
      <c r="DO259" s="25"/>
      <c r="DP259" s="25"/>
      <c r="DQ259" s="25"/>
    </row>
    <row r="260" spans="1:121" s="125" customFormat="1" ht="24.95" customHeight="1" x14ac:dyDescent="0.25">
      <c r="A260" s="927">
        <v>230</v>
      </c>
      <c r="B260" s="935">
        <v>3745</v>
      </c>
      <c r="C260" s="934">
        <v>6121</v>
      </c>
      <c r="D260" s="1229">
        <v>5046</v>
      </c>
      <c r="E260" s="937" t="s">
        <v>324</v>
      </c>
      <c r="F260" s="765" t="s">
        <v>127</v>
      </c>
      <c r="G260" s="931">
        <v>400</v>
      </c>
      <c r="H260" s="931">
        <v>2019</v>
      </c>
      <c r="I260" s="930">
        <v>2019</v>
      </c>
      <c r="J260" s="795">
        <f t="shared" si="38"/>
        <v>845</v>
      </c>
      <c r="K260" s="463">
        <v>0</v>
      </c>
      <c r="L260" s="464">
        <v>85</v>
      </c>
      <c r="M260" s="465">
        <f t="shared" ref="M260:M261" si="39">N260+O260+P260+Q260</f>
        <v>760</v>
      </c>
      <c r="N260" s="929">
        <v>415</v>
      </c>
      <c r="O260" s="724">
        <f>4700-4355</f>
        <v>345</v>
      </c>
      <c r="P260" s="467">
        <v>0</v>
      </c>
      <c r="Q260" s="464">
        <v>0</v>
      </c>
      <c r="R260" s="469">
        <v>0</v>
      </c>
      <c r="S260" s="467">
        <v>0</v>
      </c>
      <c r="T260" s="468">
        <v>0</v>
      </c>
      <c r="U260" s="722">
        <v>0</v>
      </c>
      <c r="V260" s="467">
        <v>0</v>
      </c>
      <c r="W260" s="464">
        <v>0</v>
      </c>
      <c r="X260" s="723">
        <v>0</v>
      </c>
      <c r="Y260" s="467">
        <v>0</v>
      </c>
      <c r="Z260" s="608">
        <v>0</v>
      </c>
      <c r="AA260" s="478">
        <v>0</v>
      </c>
      <c r="AB260" s="1062"/>
      <c r="AC260" s="25"/>
      <c r="AD260" s="25"/>
      <c r="AE260" s="25"/>
      <c r="AF260" s="25"/>
      <c r="AG260" s="25"/>
      <c r="AH260" s="25"/>
      <c r="AI260" s="25"/>
      <c r="AJ260" s="25"/>
      <c r="AK260" s="25"/>
      <c r="AL260" s="25"/>
      <c r="AM260" s="25"/>
      <c r="AN260" s="25"/>
      <c r="AO260" s="25"/>
      <c r="AP260" s="25"/>
      <c r="AQ260" s="25"/>
      <c r="AR260" s="25"/>
      <c r="AS260" s="25"/>
      <c r="AT260" s="25"/>
      <c r="AU260" s="25"/>
      <c r="AV260" s="25"/>
      <c r="AW260" s="25"/>
      <c r="AX260" s="25"/>
      <c r="AY260" s="25"/>
      <c r="AZ260" s="25"/>
      <c r="BA260" s="25"/>
      <c r="BB260" s="25"/>
      <c r="BC260" s="25"/>
      <c r="BD260" s="25"/>
      <c r="BE260" s="25"/>
      <c r="BF260" s="25"/>
      <c r="BG260" s="25"/>
      <c r="BH260" s="25"/>
      <c r="BI260" s="25"/>
      <c r="BJ260" s="25"/>
      <c r="BK260" s="25"/>
      <c r="BL260" s="25"/>
      <c r="BM260" s="25"/>
      <c r="BN260" s="25"/>
      <c r="BO260" s="25"/>
      <c r="BP260" s="25"/>
      <c r="BQ260" s="25"/>
      <c r="BR260" s="25"/>
      <c r="BS260" s="25"/>
      <c r="BT260" s="25"/>
      <c r="BU260" s="25"/>
      <c r="BV260" s="25"/>
      <c r="BW260" s="25"/>
      <c r="BX260" s="25"/>
      <c r="BY260" s="25"/>
      <c r="BZ260" s="25"/>
      <c r="CA260" s="25"/>
      <c r="CB260" s="25"/>
      <c r="CC260" s="25"/>
      <c r="CD260" s="25"/>
      <c r="CE260" s="25"/>
      <c r="CF260" s="25"/>
      <c r="CG260" s="25"/>
      <c r="CH260" s="25"/>
      <c r="CI260" s="25"/>
      <c r="CJ260" s="25"/>
      <c r="CK260" s="25"/>
      <c r="CL260" s="25"/>
      <c r="CM260" s="25"/>
      <c r="CN260" s="25"/>
      <c r="CO260" s="25"/>
      <c r="CP260" s="25"/>
      <c r="CQ260" s="25"/>
      <c r="CR260" s="25"/>
      <c r="CS260" s="25"/>
      <c r="CT260" s="25"/>
      <c r="CU260" s="25"/>
      <c r="CV260" s="25"/>
      <c r="CW260" s="25"/>
      <c r="CX260" s="25"/>
      <c r="CY260" s="25"/>
      <c r="CZ260" s="25"/>
      <c r="DA260" s="25"/>
      <c r="DB260" s="25"/>
      <c r="DC260" s="25"/>
      <c r="DD260" s="25"/>
      <c r="DE260" s="25"/>
      <c r="DF260" s="25"/>
      <c r="DG260" s="25"/>
      <c r="DH260" s="25"/>
      <c r="DI260" s="25"/>
      <c r="DJ260" s="25"/>
      <c r="DK260" s="25"/>
      <c r="DL260" s="25"/>
      <c r="DM260" s="25"/>
      <c r="DN260" s="25"/>
      <c r="DO260" s="25"/>
      <c r="DP260" s="25"/>
      <c r="DQ260" s="25"/>
    </row>
    <row r="261" spans="1:121" s="125" customFormat="1" ht="24.95" customHeight="1" x14ac:dyDescent="0.25">
      <c r="A261" s="927">
        <v>230</v>
      </c>
      <c r="B261" s="935">
        <v>3745</v>
      </c>
      <c r="C261" s="934">
        <v>6121</v>
      </c>
      <c r="D261" s="1229">
        <v>5047</v>
      </c>
      <c r="E261" s="937" t="s">
        <v>323</v>
      </c>
      <c r="F261" s="383" t="s">
        <v>322</v>
      </c>
      <c r="G261" s="931">
        <v>400</v>
      </c>
      <c r="H261" s="931">
        <v>2019</v>
      </c>
      <c r="I261" s="930">
        <v>2020</v>
      </c>
      <c r="J261" s="795">
        <f t="shared" si="38"/>
        <v>18070</v>
      </c>
      <c r="K261" s="463">
        <v>0</v>
      </c>
      <c r="L261" s="464">
        <v>130</v>
      </c>
      <c r="M261" s="465">
        <f t="shared" si="39"/>
        <v>5470</v>
      </c>
      <c r="N261" s="929">
        <v>370</v>
      </c>
      <c r="O261" s="724">
        <f>10630-9530+4000</f>
        <v>5100</v>
      </c>
      <c r="P261" s="467">
        <v>0</v>
      </c>
      <c r="Q261" s="464">
        <v>0</v>
      </c>
      <c r="R261" s="469">
        <f>12470-12470</f>
        <v>0</v>
      </c>
      <c r="S261" s="467">
        <v>0</v>
      </c>
      <c r="T261" s="468">
        <v>0</v>
      </c>
      <c r="U261" s="722">
        <v>12470</v>
      </c>
      <c r="V261" s="467">
        <v>0</v>
      </c>
      <c r="W261" s="464">
        <v>0</v>
      </c>
      <c r="X261" s="723">
        <v>0</v>
      </c>
      <c r="Y261" s="467">
        <v>0</v>
      </c>
      <c r="Z261" s="608">
        <v>0</v>
      </c>
      <c r="AA261" s="478">
        <v>0</v>
      </c>
      <c r="AB261" s="1062"/>
      <c r="AC261" s="25"/>
      <c r="AD261" s="25"/>
      <c r="AE261" s="25"/>
      <c r="AF261" s="25"/>
      <c r="AG261" s="25"/>
      <c r="AH261" s="25"/>
      <c r="AI261" s="25"/>
      <c r="AJ261" s="25"/>
      <c r="AK261" s="25"/>
      <c r="AL261" s="25"/>
      <c r="AM261" s="25"/>
      <c r="AN261" s="25"/>
      <c r="AO261" s="25"/>
      <c r="AP261" s="25"/>
      <c r="AQ261" s="25"/>
      <c r="AR261" s="25"/>
      <c r="AS261" s="25"/>
      <c r="AT261" s="25"/>
      <c r="AU261" s="25"/>
      <c r="AV261" s="25"/>
      <c r="AW261" s="25"/>
      <c r="AX261" s="25"/>
      <c r="AY261" s="25"/>
      <c r="AZ261" s="25"/>
      <c r="BA261" s="25"/>
      <c r="BB261" s="25"/>
      <c r="BC261" s="25"/>
      <c r="BD261" s="25"/>
      <c r="BE261" s="25"/>
      <c r="BF261" s="25"/>
      <c r="BG261" s="25"/>
      <c r="BH261" s="25"/>
      <c r="BI261" s="25"/>
      <c r="BJ261" s="25"/>
      <c r="BK261" s="25"/>
      <c r="BL261" s="25"/>
      <c r="BM261" s="25"/>
      <c r="BN261" s="25"/>
      <c r="BO261" s="25"/>
      <c r="BP261" s="25"/>
      <c r="BQ261" s="25"/>
      <c r="BR261" s="25"/>
      <c r="BS261" s="25"/>
      <c r="BT261" s="25"/>
      <c r="BU261" s="25"/>
      <c r="BV261" s="25"/>
      <c r="BW261" s="25"/>
      <c r="BX261" s="25"/>
      <c r="BY261" s="25"/>
      <c r="BZ261" s="25"/>
      <c r="CA261" s="25"/>
      <c r="CB261" s="25"/>
      <c r="CC261" s="25"/>
      <c r="CD261" s="25"/>
      <c r="CE261" s="25"/>
      <c r="CF261" s="25"/>
      <c r="CG261" s="25"/>
      <c r="CH261" s="25"/>
      <c r="CI261" s="25"/>
      <c r="CJ261" s="25"/>
      <c r="CK261" s="25"/>
      <c r="CL261" s="25"/>
      <c r="CM261" s="25"/>
      <c r="CN261" s="25"/>
      <c r="CO261" s="25"/>
      <c r="CP261" s="25"/>
      <c r="CQ261" s="25"/>
      <c r="CR261" s="25"/>
      <c r="CS261" s="25"/>
      <c r="CT261" s="25"/>
      <c r="CU261" s="25"/>
      <c r="CV261" s="25"/>
      <c r="CW261" s="25"/>
      <c r="CX261" s="25"/>
      <c r="CY261" s="25"/>
      <c r="CZ261" s="25"/>
      <c r="DA261" s="25"/>
      <c r="DB261" s="25"/>
      <c r="DC261" s="25"/>
      <c r="DD261" s="25"/>
      <c r="DE261" s="25"/>
      <c r="DF261" s="25"/>
      <c r="DG261" s="25"/>
      <c r="DH261" s="25"/>
      <c r="DI261" s="25"/>
      <c r="DJ261" s="25"/>
      <c r="DK261" s="25"/>
      <c r="DL261" s="25"/>
      <c r="DM261" s="25"/>
      <c r="DN261" s="25"/>
      <c r="DO261" s="25"/>
      <c r="DP261" s="25"/>
      <c r="DQ261" s="25"/>
    </row>
    <row r="262" spans="1:121" s="125" customFormat="1" ht="24.95" customHeight="1" x14ac:dyDescent="0.25">
      <c r="A262" s="943">
        <v>230</v>
      </c>
      <c r="B262" s="907">
        <v>3745</v>
      </c>
      <c r="C262" s="906">
        <v>6121</v>
      </c>
      <c r="D262" s="1229">
        <v>5050</v>
      </c>
      <c r="E262" s="942" t="s">
        <v>321</v>
      </c>
      <c r="F262" s="765" t="s">
        <v>127</v>
      </c>
      <c r="G262" s="936">
        <v>400</v>
      </c>
      <c r="H262" s="936">
        <v>2019</v>
      </c>
      <c r="I262" s="941">
        <v>2020</v>
      </c>
      <c r="J262" s="795">
        <f t="shared" si="38"/>
        <v>3700</v>
      </c>
      <c r="K262" s="443">
        <v>0</v>
      </c>
      <c r="L262" s="444">
        <v>0</v>
      </c>
      <c r="M262" s="940">
        <f t="shared" ref="M262:M305" si="40">N262+O262+P262+Q262</f>
        <v>500</v>
      </c>
      <c r="N262" s="939">
        <v>200</v>
      </c>
      <c r="O262" s="938">
        <f>650-350</f>
        <v>300</v>
      </c>
      <c r="P262" s="448">
        <v>0</v>
      </c>
      <c r="Q262" s="444">
        <v>0</v>
      </c>
      <c r="R262" s="449">
        <v>3200</v>
      </c>
      <c r="S262" s="492">
        <v>0</v>
      </c>
      <c r="T262" s="444">
        <v>0</v>
      </c>
      <c r="U262" s="505">
        <v>0</v>
      </c>
      <c r="V262" s="448">
        <v>0</v>
      </c>
      <c r="W262" s="444">
        <v>0</v>
      </c>
      <c r="X262" s="609">
        <v>0</v>
      </c>
      <c r="Y262" s="448">
        <v>0</v>
      </c>
      <c r="Z262" s="540">
        <v>0</v>
      </c>
      <c r="AA262" s="493">
        <v>0</v>
      </c>
      <c r="AB262" s="1062"/>
      <c r="AC262" s="25"/>
      <c r="AD262" s="25"/>
      <c r="AE262" s="25"/>
      <c r="AF262" s="25"/>
      <c r="AG262" s="25"/>
      <c r="AH262" s="25"/>
      <c r="AI262" s="25"/>
      <c r="AJ262" s="25"/>
      <c r="AK262" s="25"/>
      <c r="AL262" s="25"/>
      <c r="AM262" s="25"/>
      <c r="AN262" s="25"/>
      <c r="AO262" s="25"/>
      <c r="AP262" s="25"/>
      <c r="AQ262" s="25"/>
      <c r="AR262" s="25"/>
      <c r="AS262" s="25"/>
      <c r="AT262" s="25"/>
      <c r="AU262" s="25"/>
      <c r="AV262" s="25"/>
      <c r="AW262" s="25"/>
      <c r="AX262" s="25"/>
      <c r="AY262" s="25"/>
      <c r="AZ262" s="25"/>
      <c r="BA262" s="25"/>
      <c r="BB262" s="25"/>
      <c r="BC262" s="25"/>
      <c r="BD262" s="25"/>
      <c r="BE262" s="25"/>
      <c r="BF262" s="25"/>
      <c r="BG262" s="25"/>
      <c r="BH262" s="25"/>
      <c r="BI262" s="25"/>
      <c r="BJ262" s="25"/>
      <c r="BK262" s="25"/>
      <c r="BL262" s="25"/>
      <c r="BM262" s="25"/>
      <c r="BN262" s="25"/>
      <c r="BO262" s="25"/>
      <c r="BP262" s="25"/>
      <c r="BQ262" s="25"/>
      <c r="BR262" s="25"/>
      <c r="BS262" s="25"/>
      <c r="BT262" s="25"/>
      <c r="BU262" s="25"/>
      <c r="BV262" s="25"/>
      <c r="BW262" s="25"/>
      <c r="BX262" s="25"/>
      <c r="BY262" s="25"/>
      <c r="BZ262" s="25"/>
      <c r="CA262" s="25"/>
      <c r="CB262" s="25"/>
      <c r="CC262" s="25"/>
      <c r="CD262" s="25"/>
      <c r="CE262" s="25"/>
      <c r="CF262" s="25"/>
      <c r="CG262" s="25"/>
      <c r="CH262" s="25"/>
      <c r="CI262" s="25"/>
      <c r="CJ262" s="25"/>
      <c r="CK262" s="25"/>
      <c r="CL262" s="25"/>
      <c r="CM262" s="25"/>
      <c r="CN262" s="25"/>
      <c r="CO262" s="25"/>
      <c r="CP262" s="25"/>
      <c r="CQ262" s="25"/>
      <c r="CR262" s="25"/>
      <c r="CS262" s="25"/>
      <c r="CT262" s="25"/>
      <c r="CU262" s="25"/>
      <c r="CV262" s="25"/>
      <c r="CW262" s="25"/>
      <c r="CX262" s="25"/>
      <c r="CY262" s="25"/>
      <c r="CZ262" s="25"/>
      <c r="DA262" s="25"/>
      <c r="DB262" s="25"/>
      <c r="DC262" s="25"/>
      <c r="DD262" s="25"/>
      <c r="DE262" s="25"/>
      <c r="DF262" s="25"/>
      <c r="DG262" s="25"/>
      <c r="DH262" s="25"/>
      <c r="DI262" s="25"/>
      <c r="DJ262" s="25"/>
      <c r="DK262" s="25"/>
      <c r="DL262" s="25"/>
      <c r="DM262" s="25"/>
      <c r="DN262" s="25"/>
      <c r="DO262" s="25"/>
      <c r="DP262" s="25"/>
      <c r="DQ262" s="25"/>
    </row>
    <row r="263" spans="1:121" s="125" customFormat="1" ht="24.95" customHeight="1" x14ac:dyDescent="0.25">
      <c r="A263" s="927">
        <v>230</v>
      </c>
      <c r="B263" s="935">
        <v>3745</v>
      </c>
      <c r="C263" s="934">
        <v>6121</v>
      </c>
      <c r="D263" s="1229">
        <v>5051</v>
      </c>
      <c r="E263" s="937" t="s">
        <v>320</v>
      </c>
      <c r="F263" s="383" t="s">
        <v>319</v>
      </c>
      <c r="G263" s="931">
        <v>400</v>
      </c>
      <c r="H263" s="931">
        <v>2019</v>
      </c>
      <c r="I263" s="936">
        <v>2020</v>
      </c>
      <c r="J263" s="795">
        <f t="shared" si="38"/>
        <v>5180</v>
      </c>
      <c r="K263" s="463">
        <v>0</v>
      </c>
      <c r="L263" s="464">
        <v>0</v>
      </c>
      <c r="M263" s="465">
        <f t="shared" si="40"/>
        <v>880</v>
      </c>
      <c r="N263" s="929">
        <v>300</v>
      </c>
      <c r="O263" s="724">
        <f>3200-2620</f>
        <v>580</v>
      </c>
      <c r="P263" s="467">
        <v>0</v>
      </c>
      <c r="Q263" s="464">
        <v>0</v>
      </c>
      <c r="R263" s="469">
        <v>4300</v>
      </c>
      <c r="S263" s="467">
        <v>0</v>
      </c>
      <c r="T263" s="468">
        <v>0</v>
      </c>
      <c r="U263" s="722">
        <v>0</v>
      </c>
      <c r="V263" s="467">
        <v>0</v>
      </c>
      <c r="W263" s="464">
        <v>0</v>
      </c>
      <c r="X263" s="723">
        <v>0</v>
      </c>
      <c r="Y263" s="467">
        <v>0</v>
      </c>
      <c r="Z263" s="608">
        <v>0</v>
      </c>
      <c r="AA263" s="478">
        <v>0</v>
      </c>
      <c r="AB263" s="1062"/>
      <c r="AC263" s="25"/>
      <c r="AD263" s="25"/>
      <c r="AE263" s="25"/>
      <c r="AF263" s="25"/>
      <c r="AG263" s="25"/>
      <c r="AH263" s="25"/>
      <c r="AI263" s="25"/>
      <c r="AJ263" s="25"/>
      <c r="AK263" s="25"/>
      <c r="AL263" s="25"/>
      <c r="AM263" s="25"/>
      <c r="AN263" s="25"/>
      <c r="AO263" s="25"/>
      <c r="AP263" s="25"/>
      <c r="AQ263" s="25"/>
      <c r="AR263" s="25"/>
      <c r="AS263" s="25"/>
      <c r="AT263" s="25"/>
      <c r="AU263" s="25"/>
      <c r="AV263" s="25"/>
      <c r="AW263" s="25"/>
      <c r="AX263" s="25"/>
      <c r="AY263" s="25"/>
      <c r="AZ263" s="25"/>
      <c r="BA263" s="25"/>
      <c r="BB263" s="25"/>
      <c r="BC263" s="25"/>
      <c r="BD263" s="25"/>
      <c r="BE263" s="25"/>
      <c r="BF263" s="25"/>
      <c r="BG263" s="25"/>
      <c r="BH263" s="25"/>
      <c r="BI263" s="25"/>
      <c r="BJ263" s="25"/>
      <c r="BK263" s="25"/>
      <c r="BL263" s="25"/>
      <c r="BM263" s="25"/>
      <c r="BN263" s="25"/>
      <c r="BO263" s="25"/>
      <c r="BP263" s="25"/>
      <c r="BQ263" s="25"/>
      <c r="BR263" s="25"/>
      <c r="BS263" s="25"/>
      <c r="BT263" s="25"/>
      <c r="BU263" s="25"/>
      <c r="BV263" s="25"/>
      <c r="BW263" s="25"/>
      <c r="BX263" s="25"/>
      <c r="BY263" s="25"/>
      <c r="BZ263" s="25"/>
      <c r="CA263" s="25"/>
      <c r="CB263" s="25"/>
      <c r="CC263" s="25"/>
      <c r="CD263" s="25"/>
      <c r="CE263" s="25"/>
      <c r="CF263" s="25"/>
      <c r="CG263" s="25"/>
      <c r="CH263" s="25"/>
      <c r="CI263" s="25"/>
      <c r="CJ263" s="25"/>
      <c r="CK263" s="25"/>
      <c r="CL263" s="25"/>
      <c r="CM263" s="25"/>
      <c r="CN263" s="25"/>
      <c r="CO263" s="25"/>
      <c r="CP263" s="25"/>
      <c r="CQ263" s="25"/>
      <c r="CR263" s="25"/>
      <c r="CS263" s="25"/>
      <c r="CT263" s="25"/>
      <c r="CU263" s="25"/>
      <c r="CV263" s="25"/>
      <c r="CW263" s="25"/>
      <c r="CX263" s="25"/>
      <c r="CY263" s="25"/>
      <c r="CZ263" s="25"/>
      <c r="DA263" s="25"/>
      <c r="DB263" s="25"/>
      <c r="DC263" s="25"/>
      <c r="DD263" s="25"/>
      <c r="DE263" s="25"/>
      <c r="DF263" s="25"/>
      <c r="DG263" s="25"/>
      <c r="DH263" s="25"/>
      <c r="DI263" s="25"/>
      <c r="DJ263" s="25"/>
      <c r="DK263" s="25"/>
      <c r="DL263" s="25"/>
      <c r="DM263" s="25"/>
      <c r="DN263" s="25"/>
      <c r="DO263" s="25"/>
      <c r="DP263" s="25"/>
      <c r="DQ263" s="25"/>
    </row>
    <row r="264" spans="1:121" s="125" customFormat="1" ht="24.95" customHeight="1" x14ac:dyDescent="0.25">
      <c r="A264" s="927">
        <v>230</v>
      </c>
      <c r="B264" s="935">
        <v>3745</v>
      </c>
      <c r="C264" s="934">
        <v>6121</v>
      </c>
      <c r="D264" s="1229">
        <v>5052</v>
      </c>
      <c r="E264" s="933" t="s">
        <v>318</v>
      </c>
      <c r="F264" s="383" t="s">
        <v>117</v>
      </c>
      <c r="G264" s="931">
        <v>400</v>
      </c>
      <c r="H264" s="931">
        <v>2020</v>
      </c>
      <c r="I264" s="930">
        <v>2020</v>
      </c>
      <c r="J264" s="795">
        <f t="shared" si="38"/>
        <v>5900</v>
      </c>
      <c r="K264" s="443">
        <v>0</v>
      </c>
      <c r="L264" s="464">
        <v>0</v>
      </c>
      <c r="M264" s="465">
        <f t="shared" si="40"/>
        <v>600</v>
      </c>
      <c r="N264" s="929">
        <v>0</v>
      </c>
      <c r="O264" s="724">
        <f>3000-2400</f>
        <v>600</v>
      </c>
      <c r="P264" s="467">
        <v>0</v>
      </c>
      <c r="Q264" s="464">
        <v>0</v>
      </c>
      <c r="R264" s="469">
        <v>5300</v>
      </c>
      <c r="S264" s="467">
        <v>0</v>
      </c>
      <c r="T264" s="468">
        <v>0</v>
      </c>
      <c r="U264" s="722">
        <v>0</v>
      </c>
      <c r="V264" s="467">
        <v>0</v>
      </c>
      <c r="W264" s="464">
        <v>0</v>
      </c>
      <c r="X264" s="723">
        <v>0</v>
      </c>
      <c r="Y264" s="467">
        <v>0</v>
      </c>
      <c r="Z264" s="608">
        <v>0</v>
      </c>
      <c r="AA264" s="478">
        <v>0</v>
      </c>
      <c r="AB264" s="1062"/>
      <c r="AC264" s="25"/>
      <c r="AD264" s="25"/>
      <c r="AE264" s="25"/>
      <c r="AF264" s="25"/>
      <c r="AG264" s="25"/>
      <c r="AH264" s="25"/>
      <c r="AI264" s="25"/>
      <c r="AJ264" s="25"/>
      <c r="AK264" s="25"/>
      <c r="AL264" s="25"/>
      <c r="AM264" s="25"/>
      <c r="AN264" s="25"/>
      <c r="AO264" s="25"/>
      <c r="AP264" s="25"/>
      <c r="AQ264" s="25"/>
      <c r="AR264" s="25"/>
      <c r="AS264" s="25"/>
      <c r="AT264" s="25"/>
      <c r="AU264" s="25"/>
      <c r="AV264" s="25"/>
      <c r="AW264" s="25"/>
      <c r="AX264" s="25"/>
      <c r="AY264" s="25"/>
      <c r="AZ264" s="25"/>
      <c r="BA264" s="25"/>
      <c r="BB264" s="25"/>
      <c r="BC264" s="25"/>
      <c r="BD264" s="25"/>
      <c r="BE264" s="25"/>
      <c r="BF264" s="25"/>
      <c r="BG264" s="25"/>
      <c r="BH264" s="25"/>
      <c r="BI264" s="25"/>
      <c r="BJ264" s="25"/>
      <c r="BK264" s="25"/>
      <c r="BL264" s="25"/>
      <c r="BM264" s="25"/>
      <c r="BN264" s="25"/>
      <c r="BO264" s="25"/>
      <c r="BP264" s="25"/>
      <c r="BQ264" s="25"/>
      <c r="BR264" s="25"/>
      <c r="BS264" s="25"/>
      <c r="BT264" s="25"/>
      <c r="BU264" s="25"/>
      <c r="BV264" s="25"/>
      <c r="BW264" s="25"/>
      <c r="BX264" s="25"/>
      <c r="BY264" s="25"/>
      <c r="BZ264" s="25"/>
      <c r="CA264" s="25"/>
      <c r="CB264" s="25"/>
      <c r="CC264" s="25"/>
      <c r="CD264" s="25"/>
      <c r="CE264" s="25"/>
      <c r="CF264" s="25"/>
      <c r="CG264" s="25"/>
      <c r="CH264" s="25"/>
      <c r="CI264" s="25"/>
      <c r="CJ264" s="25"/>
      <c r="CK264" s="25"/>
      <c r="CL264" s="25"/>
      <c r="CM264" s="25"/>
      <c r="CN264" s="25"/>
      <c r="CO264" s="25"/>
      <c r="CP264" s="25"/>
      <c r="CQ264" s="25"/>
      <c r="CR264" s="25"/>
      <c r="CS264" s="25"/>
      <c r="CT264" s="25"/>
      <c r="CU264" s="25"/>
      <c r="CV264" s="25"/>
      <c r="CW264" s="25"/>
      <c r="CX264" s="25"/>
      <c r="CY264" s="25"/>
      <c r="CZ264" s="25"/>
      <c r="DA264" s="25"/>
      <c r="DB264" s="25"/>
      <c r="DC264" s="25"/>
      <c r="DD264" s="25"/>
      <c r="DE264" s="25"/>
      <c r="DF264" s="25"/>
      <c r="DG264" s="25"/>
      <c r="DH264" s="25"/>
      <c r="DI264" s="25"/>
      <c r="DJ264" s="25"/>
      <c r="DK264" s="25"/>
      <c r="DL264" s="25"/>
      <c r="DM264" s="25"/>
      <c r="DN264" s="25"/>
      <c r="DO264" s="25"/>
      <c r="DP264" s="25"/>
      <c r="DQ264" s="25"/>
    </row>
    <row r="265" spans="1:121" s="125" customFormat="1" ht="24.95" customHeight="1" x14ac:dyDescent="0.25">
      <c r="A265" s="927">
        <v>230</v>
      </c>
      <c r="B265" s="935">
        <v>3745</v>
      </c>
      <c r="C265" s="934">
        <v>6121</v>
      </c>
      <c r="D265" s="1229">
        <v>5053</v>
      </c>
      <c r="E265" s="933" t="s">
        <v>317</v>
      </c>
      <c r="F265" s="383" t="s">
        <v>117</v>
      </c>
      <c r="G265" s="931">
        <v>400</v>
      </c>
      <c r="H265" s="931">
        <v>2020</v>
      </c>
      <c r="I265" s="930">
        <v>2020</v>
      </c>
      <c r="J265" s="795">
        <f t="shared" si="38"/>
        <v>10970</v>
      </c>
      <c r="K265" s="443">
        <v>0</v>
      </c>
      <c r="L265" s="464">
        <v>0</v>
      </c>
      <c r="M265" s="465">
        <f t="shared" si="40"/>
        <v>970</v>
      </c>
      <c r="N265" s="929">
        <v>0</v>
      </c>
      <c r="O265" s="724">
        <f>3000-2030</f>
        <v>970</v>
      </c>
      <c r="P265" s="467">
        <v>0</v>
      </c>
      <c r="Q265" s="464">
        <v>0</v>
      </c>
      <c r="R265" s="469">
        <f>10000-10000</f>
        <v>0</v>
      </c>
      <c r="S265" s="467">
        <v>0</v>
      </c>
      <c r="T265" s="468">
        <v>0</v>
      </c>
      <c r="U265" s="722">
        <v>10000</v>
      </c>
      <c r="V265" s="467">
        <v>0</v>
      </c>
      <c r="W265" s="464">
        <v>0</v>
      </c>
      <c r="X265" s="723">
        <v>0</v>
      </c>
      <c r="Y265" s="467">
        <v>0</v>
      </c>
      <c r="Z265" s="608">
        <v>0</v>
      </c>
      <c r="AA265" s="478">
        <v>0</v>
      </c>
      <c r="AB265" s="1062"/>
      <c r="AC265" s="25"/>
      <c r="AD265" s="25"/>
      <c r="AE265" s="25"/>
      <c r="AF265" s="25"/>
      <c r="AG265" s="25"/>
      <c r="AH265" s="25"/>
      <c r="AI265" s="25"/>
      <c r="AJ265" s="25"/>
      <c r="AK265" s="25"/>
      <c r="AL265" s="25"/>
      <c r="AM265" s="25"/>
      <c r="AN265" s="25"/>
      <c r="AO265" s="25"/>
      <c r="AP265" s="25"/>
      <c r="AQ265" s="25"/>
      <c r="AR265" s="25"/>
      <c r="AS265" s="25"/>
      <c r="AT265" s="25"/>
      <c r="AU265" s="25"/>
      <c r="AV265" s="25"/>
      <c r="AW265" s="25"/>
      <c r="AX265" s="25"/>
      <c r="AY265" s="25"/>
      <c r="AZ265" s="25"/>
      <c r="BA265" s="25"/>
      <c r="BB265" s="25"/>
      <c r="BC265" s="25"/>
      <c r="BD265" s="25"/>
      <c r="BE265" s="25"/>
      <c r="BF265" s="25"/>
      <c r="BG265" s="25"/>
      <c r="BH265" s="25"/>
      <c r="BI265" s="25"/>
      <c r="BJ265" s="25"/>
      <c r="BK265" s="25"/>
      <c r="BL265" s="25"/>
      <c r="BM265" s="25"/>
      <c r="BN265" s="25"/>
      <c r="BO265" s="25"/>
      <c r="BP265" s="25"/>
      <c r="BQ265" s="25"/>
      <c r="BR265" s="25"/>
      <c r="BS265" s="25"/>
      <c r="BT265" s="25"/>
      <c r="BU265" s="25"/>
      <c r="BV265" s="25"/>
      <c r="BW265" s="25"/>
      <c r="BX265" s="25"/>
      <c r="BY265" s="25"/>
      <c r="BZ265" s="25"/>
      <c r="CA265" s="25"/>
      <c r="CB265" s="25"/>
      <c r="CC265" s="25"/>
      <c r="CD265" s="25"/>
      <c r="CE265" s="25"/>
      <c r="CF265" s="25"/>
      <c r="CG265" s="25"/>
      <c r="CH265" s="25"/>
      <c r="CI265" s="25"/>
      <c r="CJ265" s="25"/>
      <c r="CK265" s="25"/>
      <c r="CL265" s="25"/>
      <c r="CM265" s="25"/>
      <c r="CN265" s="25"/>
      <c r="CO265" s="25"/>
      <c r="CP265" s="25"/>
      <c r="CQ265" s="25"/>
      <c r="CR265" s="25"/>
      <c r="CS265" s="25"/>
      <c r="CT265" s="25"/>
      <c r="CU265" s="25"/>
      <c r="CV265" s="25"/>
      <c r="CW265" s="25"/>
      <c r="CX265" s="25"/>
      <c r="CY265" s="25"/>
      <c r="CZ265" s="25"/>
      <c r="DA265" s="25"/>
      <c r="DB265" s="25"/>
      <c r="DC265" s="25"/>
      <c r="DD265" s="25"/>
      <c r="DE265" s="25"/>
      <c r="DF265" s="25"/>
      <c r="DG265" s="25"/>
      <c r="DH265" s="25"/>
      <c r="DI265" s="25"/>
      <c r="DJ265" s="25"/>
      <c r="DK265" s="25"/>
      <c r="DL265" s="25"/>
      <c r="DM265" s="25"/>
      <c r="DN265" s="25"/>
      <c r="DO265" s="25"/>
      <c r="DP265" s="25"/>
      <c r="DQ265" s="25"/>
    </row>
    <row r="266" spans="1:121" s="125" customFormat="1" ht="24.95" customHeight="1" x14ac:dyDescent="0.25">
      <c r="A266" s="927">
        <v>230</v>
      </c>
      <c r="B266" s="781">
        <v>3745</v>
      </c>
      <c r="C266" s="782">
        <v>6121</v>
      </c>
      <c r="D266" s="1231">
        <v>5054</v>
      </c>
      <c r="E266" s="932" t="s">
        <v>316</v>
      </c>
      <c r="F266" s="765" t="s">
        <v>127</v>
      </c>
      <c r="G266" s="931">
        <v>400</v>
      </c>
      <c r="H266" s="931">
        <v>2019</v>
      </c>
      <c r="I266" s="930">
        <v>2019</v>
      </c>
      <c r="J266" s="795">
        <f t="shared" si="38"/>
        <v>3200</v>
      </c>
      <c r="K266" s="463">
        <v>0</v>
      </c>
      <c r="L266" s="464">
        <v>55</v>
      </c>
      <c r="M266" s="465">
        <f t="shared" si="40"/>
        <v>645</v>
      </c>
      <c r="N266" s="929">
        <v>0</v>
      </c>
      <c r="O266" s="928">
        <f>3145-2500</f>
        <v>645</v>
      </c>
      <c r="P266" s="467">
        <v>0</v>
      </c>
      <c r="Q266" s="464">
        <v>0</v>
      </c>
      <c r="R266" s="469">
        <v>2500</v>
      </c>
      <c r="S266" s="467">
        <v>0</v>
      </c>
      <c r="T266" s="468">
        <v>0</v>
      </c>
      <c r="U266" s="722">
        <v>0</v>
      </c>
      <c r="V266" s="467">
        <v>0</v>
      </c>
      <c r="W266" s="464">
        <v>0</v>
      </c>
      <c r="X266" s="723">
        <v>0</v>
      </c>
      <c r="Y266" s="467">
        <v>0</v>
      </c>
      <c r="Z266" s="608">
        <v>0</v>
      </c>
      <c r="AA266" s="478">
        <v>0</v>
      </c>
      <c r="AB266" s="1062"/>
      <c r="AC266" s="25"/>
      <c r="AD266" s="25"/>
      <c r="AE266" s="25"/>
      <c r="AF266" s="25"/>
      <c r="AG266" s="25"/>
      <c r="AH266" s="25"/>
      <c r="AI266" s="25"/>
      <c r="AJ266" s="25"/>
      <c r="AK266" s="25"/>
      <c r="AL266" s="25"/>
      <c r="AM266" s="25"/>
      <c r="AN266" s="25"/>
      <c r="AO266" s="25"/>
      <c r="AP266" s="25"/>
      <c r="AQ266" s="25"/>
      <c r="AR266" s="25"/>
      <c r="AS266" s="25"/>
      <c r="AT266" s="25"/>
      <c r="AU266" s="25"/>
      <c r="AV266" s="25"/>
      <c r="AW266" s="25"/>
      <c r="AX266" s="25"/>
      <c r="AY266" s="25"/>
      <c r="AZ266" s="25"/>
      <c r="BA266" s="25"/>
      <c r="BB266" s="25"/>
      <c r="BC266" s="25"/>
      <c r="BD266" s="25"/>
      <c r="BE266" s="25"/>
      <c r="BF266" s="25"/>
      <c r="BG266" s="25"/>
      <c r="BH266" s="25"/>
      <c r="BI266" s="25"/>
      <c r="BJ266" s="25"/>
      <c r="BK266" s="25"/>
      <c r="BL266" s="25"/>
      <c r="BM266" s="25"/>
      <c r="BN266" s="25"/>
      <c r="BO266" s="25"/>
      <c r="BP266" s="25"/>
      <c r="BQ266" s="25"/>
      <c r="BR266" s="25"/>
      <c r="BS266" s="25"/>
      <c r="BT266" s="25"/>
      <c r="BU266" s="25"/>
      <c r="BV266" s="25"/>
      <c r="BW266" s="25"/>
      <c r="BX266" s="25"/>
      <c r="BY266" s="25"/>
      <c r="BZ266" s="25"/>
      <c r="CA266" s="25"/>
      <c r="CB266" s="25"/>
      <c r="CC266" s="25"/>
      <c r="CD266" s="25"/>
      <c r="CE266" s="25"/>
      <c r="CF266" s="25"/>
      <c r="CG266" s="25"/>
      <c r="CH266" s="25"/>
      <c r="CI266" s="25"/>
      <c r="CJ266" s="25"/>
      <c r="CK266" s="25"/>
      <c r="CL266" s="25"/>
      <c r="CM266" s="25"/>
      <c r="CN266" s="25"/>
      <c r="CO266" s="25"/>
      <c r="CP266" s="25"/>
      <c r="CQ266" s="25"/>
      <c r="CR266" s="25"/>
      <c r="CS266" s="25"/>
      <c r="CT266" s="25"/>
      <c r="CU266" s="25"/>
      <c r="CV266" s="25"/>
      <c r="CW266" s="25"/>
      <c r="CX266" s="25"/>
      <c r="CY266" s="25"/>
      <c r="CZ266" s="25"/>
      <c r="DA266" s="25"/>
      <c r="DB266" s="25"/>
      <c r="DC266" s="25"/>
      <c r="DD266" s="25"/>
      <c r="DE266" s="25"/>
      <c r="DF266" s="25"/>
      <c r="DG266" s="25"/>
      <c r="DH266" s="25"/>
      <c r="DI266" s="25"/>
      <c r="DJ266" s="25"/>
      <c r="DK266" s="25"/>
      <c r="DL266" s="25"/>
      <c r="DM266" s="25"/>
      <c r="DN266" s="25"/>
      <c r="DO266" s="25"/>
      <c r="DP266" s="25"/>
      <c r="DQ266" s="25"/>
    </row>
    <row r="267" spans="1:121" s="125" customFormat="1" ht="24.95" customHeight="1" x14ac:dyDescent="0.25">
      <c r="A267" s="927">
        <v>230</v>
      </c>
      <c r="B267" s="926">
        <v>3745</v>
      </c>
      <c r="C267" s="925">
        <v>6121</v>
      </c>
      <c r="D267" s="1231">
        <v>8212</v>
      </c>
      <c r="E267" s="897" t="s">
        <v>315</v>
      </c>
      <c r="F267" s="515" t="s">
        <v>147</v>
      </c>
      <c r="G267" s="483">
        <v>400</v>
      </c>
      <c r="H267" s="483">
        <v>2017</v>
      </c>
      <c r="I267" s="484">
        <v>2022</v>
      </c>
      <c r="J267" s="795">
        <f t="shared" si="38"/>
        <v>163046</v>
      </c>
      <c r="K267" s="463">
        <v>0</v>
      </c>
      <c r="L267" s="464">
        <v>2164</v>
      </c>
      <c r="M267" s="465">
        <f t="shared" si="40"/>
        <v>1000</v>
      </c>
      <c r="N267" s="466">
        <v>0</v>
      </c>
      <c r="O267" s="475">
        <f>2000-1000</f>
        <v>1000</v>
      </c>
      <c r="P267" s="467">
        <v>0</v>
      </c>
      <c r="Q267" s="464">
        <v>0</v>
      </c>
      <c r="R267" s="469">
        <f>3000+1500</f>
        <v>4500</v>
      </c>
      <c r="S267" s="467">
        <v>0</v>
      </c>
      <c r="T267" s="464">
        <v>0</v>
      </c>
      <c r="U267" s="469">
        <f>35000-30000</f>
        <v>5000</v>
      </c>
      <c r="V267" s="467">
        <v>0</v>
      </c>
      <c r="W267" s="464">
        <v>0</v>
      </c>
      <c r="X267" s="469">
        <f>45000-40000</f>
        <v>5000</v>
      </c>
      <c r="Y267" s="467">
        <v>0</v>
      </c>
      <c r="Z267" s="468">
        <v>0</v>
      </c>
      <c r="AA267" s="478">
        <f>75382+30000+40000</f>
        <v>145382</v>
      </c>
      <c r="AB267" s="1062"/>
      <c r="AC267" s="25"/>
      <c r="AD267" s="25"/>
      <c r="AE267" s="25"/>
      <c r="AF267" s="25"/>
      <c r="AG267" s="25"/>
      <c r="AH267" s="25"/>
      <c r="AI267" s="25"/>
      <c r="AJ267" s="25"/>
      <c r="AK267" s="25"/>
      <c r="AL267" s="25"/>
      <c r="AM267" s="25"/>
      <c r="AN267" s="25"/>
      <c r="AO267" s="25"/>
      <c r="AP267" s="25"/>
      <c r="AQ267" s="25"/>
      <c r="AR267" s="25"/>
      <c r="AS267" s="25"/>
      <c r="AT267" s="25"/>
      <c r="AU267" s="25"/>
      <c r="AV267" s="25"/>
      <c r="AW267" s="25"/>
      <c r="AX267" s="25"/>
      <c r="AY267" s="25"/>
      <c r="AZ267" s="25"/>
      <c r="BA267" s="25"/>
      <c r="BB267" s="25"/>
      <c r="BC267" s="25"/>
      <c r="BD267" s="25"/>
      <c r="BE267" s="25"/>
      <c r="BF267" s="25"/>
      <c r="BG267" s="25"/>
      <c r="BH267" s="25"/>
      <c r="BI267" s="25"/>
      <c r="BJ267" s="25"/>
      <c r="BK267" s="25"/>
      <c r="BL267" s="25"/>
      <c r="BM267" s="25"/>
      <c r="BN267" s="25"/>
      <c r="BO267" s="25"/>
      <c r="BP267" s="25"/>
      <c r="BQ267" s="25"/>
      <c r="BR267" s="25"/>
      <c r="BS267" s="25"/>
      <c r="BT267" s="25"/>
      <c r="BU267" s="25"/>
      <c r="BV267" s="25"/>
      <c r="BW267" s="25"/>
      <c r="BX267" s="25"/>
      <c r="BY267" s="25"/>
      <c r="BZ267" s="25"/>
      <c r="CA267" s="25"/>
      <c r="CB267" s="25"/>
      <c r="CC267" s="25"/>
      <c r="CD267" s="25"/>
      <c r="CE267" s="25"/>
      <c r="CF267" s="25"/>
      <c r="CG267" s="25"/>
      <c r="CH267" s="25"/>
      <c r="CI267" s="25"/>
      <c r="CJ267" s="25"/>
      <c r="CK267" s="25"/>
      <c r="CL267" s="25"/>
      <c r="CM267" s="25"/>
      <c r="CN267" s="25"/>
      <c r="CO267" s="25"/>
      <c r="CP267" s="25"/>
      <c r="CQ267" s="25"/>
      <c r="CR267" s="25"/>
      <c r="CS267" s="25"/>
      <c r="CT267" s="25"/>
      <c r="CU267" s="25"/>
      <c r="CV267" s="25"/>
      <c r="CW267" s="25"/>
      <c r="CX267" s="25"/>
      <c r="CY267" s="25"/>
      <c r="CZ267" s="25"/>
      <c r="DA267" s="25"/>
      <c r="DB267" s="25"/>
      <c r="DC267" s="25"/>
      <c r="DD267" s="25"/>
      <c r="DE267" s="25"/>
      <c r="DF267" s="25"/>
      <c r="DG267" s="25"/>
      <c r="DH267" s="25"/>
      <c r="DI267" s="25"/>
      <c r="DJ267" s="25"/>
      <c r="DK267" s="25"/>
      <c r="DL267" s="25"/>
      <c r="DM267" s="25"/>
      <c r="DN267" s="25"/>
      <c r="DO267" s="25"/>
      <c r="DP267" s="25"/>
      <c r="DQ267" s="25"/>
    </row>
    <row r="268" spans="1:121" s="558" customFormat="1" ht="24.95" customHeight="1" x14ac:dyDescent="0.25">
      <c r="A268" s="924">
        <v>230</v>
      </c>
      <c r="B268" s="923">
        <v>3745</v>
      </c>
      <c r="C268" s="922">
        <v>6121</v>
      </c>
      <c r="D268" s="1247">
        <v>8217</v>
      </c>
      <c r="E268" s="668" t="s">
        <v>314</v>
      </c>
      <c r="F268" s="921" t="s">
        <v>313</v>
      </c>
      <c r="G268" s="111">
        <v>400</v>
      </c>
      <c r="H268" s="111">
        <v>2017</v>
      </c>
      <c r="I268" s="112">
        <v>2020</v>
      </c>
      <c r="J268" s="795">
        <f t="shared" si="38"/>
        <v>37794</v>
      </c>
      <c r="K268" s="463">
        <v>0</v>
      </c>
      <c r="L268" s="464">
        <v>610</v>
      </c>
      <c r="M268" s="465">
        <f t="shared" si="40"/>
        <v>5720</v>
      </c>
      <c r="N268" s="466">
        <v>97</v>
      </c>
      <c r="O268" s="475">
        <v>623</v>
      </c>
      <c r="P268" s="467">
        <v>0</v>
      </c>
      <c r="Q268" s="552">
        <v>5000</v>
      </c>
      <c r="R268" s="469">
        <f>31464-10000</f>
        <v>21464</v>
      </c>
      <c r="S268" s="467">
        <v>0</v>
      </c>
      <c r="T268" s="464">
        <v>0</v>
      </c>
      <c r="U268" s="469">
        <v>10000</v>
      </c>
      <c r="V268" s="467">
        <v>0</v>
      </c>
      <c r="W268" s="464">
        <v>0</v>
      </c>
      <c r="X268" s="469">
        <v>0</v>
      </c>
      <c r="Y268" s="467">
        <v>0</v>
      </c>
      <c r="Z268" s="468">
        <v>0</v>
      </c>
      <c r="AA268" s="478">
        <v>0</v>
      </c>
      <c r="AB268" s="1062"/>
      <c r="AC268" s="25"/>
      <c r="AD268" s="25"/>
      <c r="AE268" s="25"/>
      <c r="AF268" s="25"/>
      <c r="AG268" s="25"/>
      <c r="AH268" s="25"/>
      <c r="AI268" s="25"/>
      <c r="AJ268" s="25"/>
      <c r="AK268" s="25"/>
      <c r="AL268" s="25"/>
      <c r="AM268" s="25"/>
      <c r="AN268" s="25"/>
      <c r="AO268" s="25"/>
      <c r="AP268" s="25"/>
      <c r="AQ268" s="25"/>
      <c r="AR268" s="25"/>
      <c r="AS268" s="25"/>
      <c r="AT268" s="25"/>
      <c r="AU268" s="25"/>
      <c r="AV268" s="25"/>
      <c r="AW268" s="25"/>
      <c r="AX268" s="25"/>
      <c r="AY268" s="25"/>
      <c r="AZ268" s="25"/>
      <c r="BA268" s="25"/>
      <c r="BB268" s="25"/>
      <c r="BC268" s="25"/>
      <c r="BD268" s="25"/>
      <c r="BE268" s="25"/>
      <c r="BF268" s="25"/>
      <c r="BG268" s="25"/>
      <c r="BH268" s="25"/>
      <c r="BI268" s="25"/>
      <c r="BJ268" s="25"/>
      <c r="BK268" s="25"/>
      <c r="BL268" s="25"/>
      <c r="BM268" s="25"/>
      <c r="BN268" s="25"/>
      <c r="BO268" s="25"/>
      <c r="BP268" s="25"/>
      <c r="BQ268" s="25"/>
      <c r="BR268" s="25"/>
      <c r="BS268" s="25"/>
      <c r="BT268" s="25"/>
      <c r="BU268" s="25"/>
      <c r="BV268" s="25"/>
      <c r="BW268" s="25"/>
      <c r="BX268" s="25"/>
      <c r="BY268" s="25"/>
      <c r="BZ268" s="25"/>
      <c r="CA268" s="25"/>
      <c r="CB268" s="25"/>
      <c r="CC268" s="25"/>
      <c r="CD268" s="25"/>
      <c r="CE268" s="25"/>
      <c r="CF268" s="25"/>
      <c r="CG268" s="25"/>
      <c r="CH268" s="25"/>
      <c r="CI268" s="25"/>
      <c r="CJ268" s="25"/>
      <c r="CK268" s="25"/>
      <c r="CL268" s="25"/>
      <c r="CM268" s="25"/>
      <c r="CN268" s="25"/>
      <c r="CO268" s="25"/>
      <c r="CP268" s="25"/>
      <c r="CQ268" s="25"/>
      <c r="CR268" s="25"/>
      <c r="CS268" s="25"/>
      <c r="CT268" s="25"/>
      <c r="CU268" s="25"/>
      <c r="CV268" s="25"/>
      <c r="CW268" s="25"/>
      <c r="CX268" s="25"/>
      <c r="CY268" s="25"/>
      <c r="CZ268" s="25"/>
      <c r="DA268" s="25"/>
      <c r="DB268" s="25"/>
      <c r="DC268" s="25"/>
      <c r="DD268" s="25"/>
      <c r="DE268" s="25"/>
      <c r="DF268" s="25"/>
      <c r="DG268" s="25"/>
      <c r="DH268" s="25"/>
      <c r="DI268" s="25"/>
      <c r="DJ268" s="25"/>
      <c r="DK268" s="25"/>
      <c r="DL268" s="25"/>
      <c r="DM268" s="25"/>
      <c r="DN268" s="25"/>
      <c r="DO268" s="25"/>
      <c r="DP268" s="25"/>
      <c r="DQ268" s="25"/>
    </row>
    <row r="269" spans="1:121" s="31" customFormat="1" ht="24.95" customHeight="1" x14ac:dyDescent="0.25">
      <c r="A269" s="600">
        <v>230</v>
      </c>
      <c r="B269" s="907">
        <v>4357</v>
      </c>
      <c r="C269" s="906">
        <v>6121</v>
      </c>
      <c r="D269" s="1249">
        <v>6022</v>
      </c>
      <c r="E269" s="788" t="s">
        <v>312</v>
      </c>
      <c r="F269" s="439"/>
      <c r="G269" s="440">
        <v>400</v>
      </c>
      <c r="H269" s="440">
        <v>2011</v>
      </c>
      <c r="I269" s="441">
        <v>2019</v>
      </c>
      <c r="J269" s="442">
        <f t="shared" si="38"/>
        <v>6575</v>
      </c>
      <c r="K269" s="443">
        <f>2741+1689</f>
        <v>4430</v>
      </c>
      <c r="L269" s="444">
        <v>111</v>
      </c>
      <c r="M269" s="445">
        <f t="shared" si="40"/>
        <v>2034</v>
      </c>
      <c r="N269" s="446">
        <v>1169</v>
      </c>
      <c r="O269" s="447">
        <v>865</v>
      </c>
      <c r="P269" s="448">
        <v>0</v>
      </c>
      <c r="Q269" s="444">
        <v>0</v>
      </c>
      <c r="R269" s="449">
        <v>0</v>
      </c>
      <c r="S269" s="448">
        <v>0</v>
      </c>
      <c r="T269" s="444">
        <v>0</v>
      </c>
      <c r="U269" s="449">
        <v>0</v>
      </c>
      <c r="V269" s="448">
        <v>0</v>
      </c>
      <c r="W269" s="444">
        <v>0</v>
      </c>
      <c r="X269" s="449">
        <v>0</v>
      </c>
      <c r="Y269" s="448">
        <v>0</v>
      </c>
      <c r="Z269" s="492">
        <v>0</v>
      </c>
      <c r="AA269" s="493">
        <v>0</v>
      </c>
      <c r="AB269" s="30"/>
      <c r="AC269" s="30"/>
      <c r="AD269" s="30"/>
      <c r="AE269" s="30"/>
      <c r="AF269" s="1181"/>
      <c r="AG269" s="25"/>
      <c r="AH269" s="25"/>
      <c r="AI269" s="25"/>
      <c r="AJ269" s="25"/>
      <c r="AK269" s="25"/>
      <c r="AL269" s="25"/>
      <c r="AM269" s="25"/>
      <c r="AN269" s="25"/>
      <c r="AO269" s="25"/>
      <c r="AP269" s="25"/>
      <c r="AQ269" s="25"/>
      <c r="AR269" s="25"/>
      <c r="AS269" s="25"/>
      <c r="AT269" s="25"/>
      <c r="AU269" s="25"/>
      <c r="AV269" s="25"/>
      <c r="AW269" s="25"/>
      <c r="AX269" s="25"/>
      <c r="AY269" s="25"/>
      <c r="AZ269" s="25"/>
      <c r="BA269" s="25"/>
      <c r="BB269" s="25"/>
      <c r="BC269" s="25"/>
      <c r="BD269" s="25"/>
      <c r="BE269" s="25"/>
      <c r="BF269" s="25"/>
      <c r="BG269" s="25"/>
      <c r="BH269" s="25"/>
      <c r="BI269" s="25"/>
      <c r="BJ269" s="25"/>
      <c r="BK269" s="25"/>
      <c r="BL269" s="25"/>
      <c r="BM269" s="25"/>
      <c r="BN269" s="25"/>
      <c r="BO269" s="25"/>
      <c r="BP269" s="25"/>
      <c r="BQ269" s="25"/>
      <c r="BR269" s="25"/>
      <c r="BS269" s="25"/>
      <c r="BT269" s="25"/>
      <c r="BU269" s="25"/>
      <c r="BV269" s="25"/>
      <c r="BW269" s="25"/>
      <c r="BX269" s="25"/>
      <c r="BY269" s="25"/>
      <c r="BZ269" s="25"/>
      <c r="CA269" s="25"/>
      <c r="CB269" s="25"/>
      <c r="CC269" s="25"/>
      <c r="CD269" s="25"/>
      <c r="CE269" s="25"/>
      <c r="CF269" s="25"/>
      <c r="CG269" s="25"/>
      <c r="CH269" s="25"/>
      <c r="CI269" s="25"/>
      <c r="CJ269" s="25"/>
      <c r="CK269" s="25"/>
      <c r="CL269" s="25"/>
      <c r="CM269" s="25"/>
      <c r="CN269" s="25"/>
      <c r="CO269" s="25"/>
      <c r="CP269" s="25"/>
      <c r="CQ269" s="25"/>
      <c r="CR269" s="25"/>
      <c r="CS269" s="25"/>
      <c r="CT269" s="25"/>
      <c r="CU269" s="25"/>
      <c r="CV269" s="25"/>
      <c r="CW269" s="25"/>
      <c r="CX269" s="25"/>
      <c r="CY269" s="25"/>
      <c r="CZ269" s="25"/>
      <c r="DA269" s="25"/>
      <c r="DB269" s="25"/>
      <c r="DC269" s="25"/>
      <c r="DD269" s="25"/>
      <c r="DE269" s="25"/>
      <c r="DF269" s="25"/>
      <c r="DG269" s="25"/>
      <c r="DH269" s="25"/>
      <c r="DI269" s="25"/>
      <c r="DJ269" s="25"/>
      <c r="DK269" s="25"/>
      <c r="DL269" s="25"/>
      <c r="DM269" s="25"/>
      <c r="DN269" s="25"/>
      <c r="DO269" s="25"/>
      <c r="DP269" s="25"/>
      <c r="DQ269" s="25"/>
    </row>
    <row r="270" spans="1:121" s="23" customFormat="1" ht="24.95" customHeight="1" x14ac:dyDescent="0.25">
      <c r="A270" s="898">
        <v>230</v>
      </c>
      <c r="B270" s="666">
        <v>4357</v>
      </c>
      <c r="C270" s="667">
        <v>6121</v>
      </c>
      <c r="D270" s="1250">
        <v>6026</v>
      </c>
      <c r="E270" s="917" t="s">
        <v>311</v>
      </c>
      <c r="F270" s="110" t="s">
        <v>201</v>
      </c>
      <c r="G270" s="111">
        <v>400</v>
      </c>
      <c r="H270" s="111">
        <v>2010</v>
      </c>
      <c r="I270" s="112">
        <v>2020</v>
      </c>
      <c r="J270" s="462">
        <f t="shared" si="38"/>
        <v>7330</v>
      </c>
      <c r="K270" s="463">
        <f>2236+94</f>
        <v>2330</v>
      </c>
      <c r="L270" s="464">
        <v>0</v>
      </c>
      <c r="M270" s="465">
        <f t="shared" si="40"/>
        <v>500</v>
      </c>
      <c r="N270" s="466">
        <v>0</v>
      </c>
      <c r="O270" s="475">
        <v>500</v>
      </c>
      <c r="P270" s="467">
        <v>0</v>
      </c>
      <c r="Q270" s="464">
        <v>0</v>
      </c>
      <c r="R270" s="469">
        <v>4500</v>
      </c>
      <c r="S270" s="467">
        <v>0</v>
      </c>
      <c r="T270" s="464">
        <v>0</v>
      </c>
      <c r="U270" s="469">
        <v>0</v>
      </c>
      <c r="V270" s="467">
        <v>0</v>
      </c>
      <c r="W270" s="464">
        <v>0</v>
      </c>
      <c r="X270" s="469">
        <v>0</v>
      </c>
      <c r="Y270" s="467">
        <v>0</v>
      </c>
      <c r="Z270" s="468">
        <v>0</v>
      </c>
      <c r="AA270" s="478">
        <v>0</v>
      </c>
      <c r="AB270" s="25"/>
      <c r="AC270" s="25"/>
      <c r="AD270" s="25"/>
      <c r="AE270" s="25"/>
      <c r="AF270" s="25"/>
      <c r="AG270" s="25"/>
      <c r="AH270" s="25"/>
      <c r="AI270" s="25"/>
      <c r="AJ270" s="25"/>
      <c r="AK270" s="25"/>
      <c r="AL270" s="25"/>
      <c r="AM270" s="25"/>
      <c r="AN270" s="25"/>
      <c r="AO270" s="25"/>
      <c r="AP270" s="25"/>
      <c r="AQ270" s="25"/>
      <c r="AR270" s="25"/>
      <c r="AS270" s="25"/>
      <c r="AT270" s="25"/>
      <c r="AU270" s="25"/>
      <c r="AV270" s="25"/>
      <c r="AW270" s="25"/>
      <c r="AX270" s="25"/>
      <c r="AY270" s="25"/>
      <c r="AZ270" s="25"/>
      <c r="BA270" s="25"/>
      <c r="BB270" s="25"/>
      <c r="BC270" s="25"/>
      <c r="BD270" s="25"/>
      <c r="BE270" s="25"/>
      <c r="BF270" s="25"/>
      <c r="BG270" s="25"/>
      <c r="BH270" s="25"/>
      <c r="BI270" s="25"/>
      <c r="BJ270" s="25"/>
      <c r="BK270" s="25"/>
      <c r="BL270" s="25"/>
      <c r="BM270" s="25"/>
      <c r="BN270" s="25"/>
      <c r="BO270" s="25"/>
      <c r="BP270" s="25"/>
      <c r="BQ270" s="25"/>
      <c r="BR270" s="25"/>
      <c r="BS270" s="25"/>
      <c r="BT270" s="25"/>
      <c r="BU270" s="25"/>
      <c r="BV270" s="25"/>
      <c r="BW270" s="25"/>
      <c r="BX270" s="25"/>
      <c r="BY270" s="25"/>
      <c r="BZ270" s="25"/>
      <c r="CA270" s="25"/>
      <c r="CB270" s="25"/>
      <c r="CC270" s="25"/>
      <c r="CD270" s="25"/>
      <c r="CE270" s="25"/>
      <c r="CF270" s="25"/>
      <c r="CG270" s="25"/>
      <c r="CH270" s="25"/>
      <c r="CI270" s="25"/>
      <c r="CJ270" s="25"/>
      <c r="CK270" s="25"/>
      <c r="CL270" s="25"/>
      <c r="CM270" s="25"/>
      <c r="CN270" s="25"/>
      <c r="CO270" s="25"/>
      <c r="CP270" s="25"/>
      <c r="CQ270" s="25"/>
      <c r="CR270" s="25"/>
      <c r="CS270" s="25"/>
      <c r="CT270" s="25"/>
      <c r="CU270" s="25"/>
      <c r="CV270" s="25"/>
      <c r="CW270" s="25"/>
      <c r="CX270" s="25"/>
      <c r="CY270" s="25"/>
      <c r="CZ270" s="25"/>
      <c r="DA270" s="25"/>
      <c r="DB270" s="25"/>
      <c r="DC270" s="25"/>
      <c r="DD270" s="25"/>
      <c r="DE270" s="25"/>
      <c r="DF270" s="25"/>
      <c r="DG270" s="25"/>
      <c r="DH270" s="25"/>
      <c r="DI270" s="25"/>
      <c r="DJ270" s="25"/>
      <c r="DK270" s="25"/>
      <c r="DL270" s="25"/>
      <c r="DM270" s="25"/>
      <c r="DN270" s="25"/>
      <c r="DO270" s="25"/>
      <c r="DP270" s="25"/>
      <c r="DQ270" s="25"/>
    </row>
    <row r="271" spans="1:121" s="23" customFormat="1" ht="24.95" customHeight="1" x14ac:dyDescent="0.25">
      <c r="A271" s="898">
        <v>230</v>
      </c>
      <c r="B271" s="666">
        <v>4357</v>
      </c>
      <c r="C271" s="667">
        <v>6121</v>
      </c>
      <c r="D271" s="1251">
        <v>6027</v>
      </c>
      <c r="E271" s="603" t="s">
        <v>310</v>
      </c>
      <c r="F271" s="110" t="s">
        <v>117</v>
      </c>
      <c r="G271" s="111">
        <v>400</v>
      </c>
      <c r="H271" s="111">
        <v>2014</v>
      </c>
      <c r="I271" s="112">
        <v>2019</v>
      </c>
      <c r="J271" s="462">
        <f t="shared" si="38"/>
        <v>5827</v>
      </c>
      <c r="K271" s="463">
        <f>4011+200</f>
        <v>4211</v>
      </c>
      <c r="L271" s="464">
        <v>0</v>
      </c>
      <c r="M271" s="465">
        <f t="shared" si="40"/>
        <v>1616</v>
      </c>
      <c r="N271" s="466">
        <f>1000+616</f>
        <v>1616</v>
      </c>
      <c r="O271" s="475">
        <v>0</v>
      </c>
      <c r="P271" s="467">
        <v>0</v>
      </c>
      <c r="Q271" s="464">
        <v>0</v>
      </c>
      <c r="R271" s="469">
        <v>0</v>
      </c>
      <c r="S271" s="467">
        <v>0</v>
      </c>
      <c r="T271" s="464">
        <v>0</v>
      </c>
      <c r="U271" s="469">
        <v>0</v>
      </c>
      <c r="V271" s="467">
        <v>0</v>
      </c>
      <c r="W271" s="464">
        <v>0</v>
      </c>
      <c r="X271" s="469">
        <v>0</v>
      </c>
      <c r="Y271" s="467">
        <v>0</v>
      </c>
      <c r="Z271" s="468">
        <v>0</v>
      </c>
      <c r="AA271" s="478">
        <v>0</v>
      </c>
      <c r="AB271" s="25"/>
      <c r="AC271" s="25"/>
      <c r="AD271" s="25"/>
      <c r="AE271" s="25"/>
      <c r="AF271" s="25"/>
      <c r="AG271" s="25"/>
      <c r="AH271" s="25"/>
      <c r="AI271" s="25"/>
      <c r="AJ271" s="25"/>
      <c r="AK271" s="25"/>
      <c r="AL271" s="25"/>
      <c r="AM271" s="25"/>
      <c r="AN271" s="25"/>
      <c r="AO271" s="25"/>
      <c r="AP271" s="25"/>
      <c r="AQ271" s="25"/>
      <c r="AR271" s="25"/>
      <c r="AS271" s="25"/>
      <c r="AT271" s="25"/>
      <c r="AU271" s="25"/>
      <c r="AV271" s="25"/>
      <c r="AW271" s="25"/>
      <c r="AX271" s="25"/>
      <c r="AY271" s="25"/>
      <c r="AZ271" s="25"/>
      <c r="BA271" s="25"/>
      <c r="BB271" s="25"/>
      <c r="BC271" s="25"/>
      <c r="BD271" s="25"/>
      <c r="BE271" s="25"/>
      <c r="BF271" s="25"/>
      <c r="BG271" s="25"/>
      <c r="BH271" s="25"/>
      <c r="BI271" s="25"/>
      <c r="BJ271" s="25"/>
      <c r="BK271" s="25"/>
      <c r="BL271" s="25"/>
      <c r="BM271" s="25"/>
      <c r="BN271" s="25"/>
      <c r="BO271" s="25"/>
      <c r="BP271" s="25"/>
      <c r="BQ271" s="25"/>
      <c r="BR271" s="25"/>
      <c r="BS271" s="25"/>
      <c r="BT271" s="25"/>
      <c r="BU271" s="25"/>
      <c r="BV271" s="25"/>
      <c r="BW271" s="25"/>
      <c r="BX271" s="25"/>
      <c r="BY271" s="25"/>
      <c r="BZ271" s="25"/>
      <c r="CA271" s="25"/>
      <c r="CB271" s="25"/>
      <c r="CC271" s="25"/>
      <c r="CD271" s="25"/>
      <c r="CE271" s="25"/>
      <c r="CF271" s="25"/>
      <c r="CG271" s="25"/>
      <c r="CH271" s="25"/>
      <c r="CI271" s="25"/>
      <c r="CJ271" s="25"/>
      <c r="CK271" s="25"/>
      <c r="CL271" s="25"/>
      <c r="CM271" s="25"/>
      <c r="CN271" s="25"/>
      <c r="CO271" s="25"/>
      <c r="CP271" s="25"/>
      <c r="CQ271" s="25"/>
      <c r="CR271" s="25"/>
      <c r="CS271" s="25"/>
      <c r="CT271" s="25"/>
      <c r="CU271" s="25"/>
      <c r="CV271" s="25"/>
      <c r="CW271" s="25"/>
      <c r="CX271" s="25"/>
      <c r="CY271" s="25"/>
      <c r="CZ271" s="25"/>
      <c r="DA271" s="25"/>
      <c r="DB271" s="25"/>
      <c r="DC271" s="25"/>
      <c r="DD271" s="25"/>
      <c r="DE271" s="25"/>
      <c r="DF271" s="25"/>
      <c r="DG271" s="25"/>
      <c r="DH271" s="25"/>
      <c r="DI271" s="25"/>
      <c r="DJ271" s="25"/>
      <c r="DK271" s="25"/>
      <c r="DL271" s="25"/>
      <c r="DM271" s="25"/>
      <c r="DN271" s="25"/>
      <c r="DO271" s="25"/>
      <c r="DP271" s="25"/>
      <c r="DQ271" s="25"/>
    </row>
    <row r="272" spans="1:121" s="23" customFormat="1" ht="24.95" customHeight="1" x14ac:dyDescent="0.25">
      <c r="A272" s="898">
        <v>230</v>
      </c>
      <c r="B272" s="666">
        <v>4357</v>
      </c>
      <c r="C272" s="667">
        <v>6121</v>
      </c>
      <c r="D272" s="1251">
        <v>6032</v>
      </c>
      <c r="E272" s="603" t="s">
        <v>309</v>
      </c>
      <c r="F272" s="110" t="s">
        <v>117</v>
      </c>
      <c r="G272" s="111">
        <v>400</v>
      </c>
      <c r="H272" s="111">
        <v>2012</v>
      </c>
      <c r="I272" s="112">
        <v>2022</v>
      </c>
      <c r="J272" s="462">
        <f t="shared" si="38"/>
        <v>265688</v>
      </c>
      <c r="K272" s="463">
        <v>3844</v>
      </c>
      <c r="L272" s="464">
        <f>544</f>
        <v>544</v>
      </c>
      <c r="M272" s="465">
        <f t="shared" si="40"/>
        <v>3300</v>
      </c>
      <c r="N272" s="466">
        <v>1300</v>
      </c>
      <c r="O272" s="475">
        <f>4000-2000</f>
        <v>2000</v>
      </c>
      <c r="P272" s="467">
        <v>0</v>
      </c>
      <c r="Q272" s="464">
        <v>0</v>
      </c>
      <c r="R272" s="469">
        <f>6000+2000</f>
        <v>8000</v>
      </c>
      <c r="S272" s="467">
        <v>0</v>
      </c>
      <c r="T272" s="464">
        <v>0</v>
      </c>
      <c r="U272" s="469">
        <v>50000</v>
      </c>
      <c r="V272" s="467">
        <v>0</v>
      </c>
      <c r="W272" s="464">
        <v>0</v>
      </c>
      <c r="X272" s="469">
        <f>200000-50000</f>
        <v>150000</v>
      </c>
      <c r="Y272" s="467">
        <v>0</v>
      </c>
      <c r="Z272" s="468">
        <v>0</v>
      </c>
      <c r="AA272" s="478">
        <v>50000</v>
      </c>
      <c r="AB272" s="25"/>
      <c r="AC272" s="25"/>
      <c r="AD272" s="25"/>
      <c r="AE272" s="25"/>
      <c r="AF272" s="25"/>
      <c r="AG272" s="25"/>
      <c r="AH272" s="25"/>
      <c r="AI272" s="25"/>
      <c r="AJ272" s="25"/>
      <c r="AK272" s="25"/>
      <c r="AL272" s="25"/>
      <c r="AM272" s="25"/>
      <c r="AN272" s="25"/>
      <c r="AO272" s="25"/>
      <c r="AP272" s="25"/>
      <c r="AQ272" s="25"/>
      <c r="AR272" s="25"/>
      <c r="AS272" s="25"/>
      <c r="AT272" s="25"/>
      <c r="AU272" s="25"/>
      <c r="AV272" s="25"/>
      <c r="AW272" s="25"/>
      <c r="AX272" s="25"/>
      <c r="AY272" s="25"/>
      <c r="AZ272" s="25"/>
      <c r="BA272" s="25"/>
      <c r="BB272" s="25"/>
      <c r="BC272" s="25"/>
      <c r="BD272" s="25"/>
      <c r="BE272" s="25"/>
      <c r="BF272" s="25"/>
      <c r="BG272" s="25"/>
      <c r="BH272" s="25"/>
      <c r="BI272" s="25"/>
      <c r="BJ272" s="25"/>
      <c r="BK272" s="25"/>
      <c r="BL272" s="25"/>
      <c r="BM272" s="25"/>
      <c r="BN272" s="25"/>
      <c r="BO272" s="25"/>
      <c r="BP272" s="25"/>
      <c r="BQ272" s="25"/>
      <c r="BR272" s="25"/>
      <c r="BS272" s="25"/>
      <c r="BT272" s="25"/>
      <c r="BU272" s="25"/>
      <c r="BV272" s="25"/>
      <c r="BW272" s="25"/>
      <c r="BX272" s="25"/>
      <c r="BY272" s="25"/>
      <c r="BZ272" s="25"/>
      <c r="CA272" s="25"/>
      <c r="CB272" s="25"/>
      <c r="CC272" s="25"/>
      <c r="CD272" s="25"/>
      <c r="CE272" s="25"/>
      <c r="CF272" s="25"/>
      <c r="CG272" s="25"/>
      <c r="CH272" s="25"/>
      <c r="CI272" s="25"/>
      <c r="CJ272" s="25"/>
      <c r="CK272" s="25"/>
      <c r="CL272" s="25"/>
      <c r="CM272" s="25"/>
      <c r="CN272" s="25"/>
      <c r="CO272" s="25"/>
      <c r="CP272" s="25"/>
      <c r="CQ272" s="25"/>
      <c r="CR272" s="25"/>
      <c r="CS272" s="25"/>
      <c r="CT272" s="25"/>
      <c r="CU272" s="25"/>
      <c r="CV272" s="25"/>
      <c r="CW272" s="25"/>
      <c r="CX272" s="25"/>
      <c r="CY272" s="25"/>
      <c r="CZ272" s="25"/>
      <c r="DA272" s="25"/>
      <c r="DB272" s="25"/>
      <c r="DC272" s="25"/>
      <c r="DD272" s="25"/>
      <c r="DE272" s="25"/>
      <c r="DF272" s="25"/>
      <c r="DG272" s="25"/>
      <c r="DH272" s="25"/>
      <c r="DI272" s="25"/>
      <c r="DJ272" s="25"/>
      <c r="DK272" s="25"/>
      <c r="DL272" s="25"/>
      <c r="DM272" s="25"/>
      <c r="DN272" s="25"/>
      <c r="DO272" s="25"/>
      <c r="DP272" s="25"/>
      <c r="DQ272" s="25"/>
    </row>
    <row r="273" spans="1:121" s="23" customFormat="1" ht="24.95" customHeight="1" x14ac:dyDescent="0.25">
      <c r="A273" s="898">
        <v>230</v>
      </c>
      <c r="B273" s="666">
        <v>4357</v>
      </c>
      <c r="C273" s="667">
        <v>6121</v>
      </c>
      <c r="D273" s="1234">
        <v>6035</v>
      </c>
      <c r="E273" s="917" t="s">
        <v>308</v>
      </c>
      <c r="F273" s="110" t="s">
        <v>201</v>
      </c>
      <c r="G273" s="111">
        <v>400</v>
      </c>
      <c r="H273" s="111">
        <v>2012</v>
      </c>
      <c r="I273" s="112">
        <v>2019</v>
      </c>
      <c r="J273" s="462">
        <f t="shared" si="38"/>
        <v>1504</v>
      </c>
      <c r="K273" s="463">
        <f>110+346</f>
        <v>456</v>
      </c>
      <c r="L273" s="464">
        <v>0</v>
      </c>
      <c r="M273" s="465">
        <f t="shared" si="40"/>
        <v>1048</v>
      </c>
      <c r="N273" s="466">
        <v>48</v>
      </c>
      <c r="O273" s="475">
        <v>1000</v>
      </c>
      <c r="P273" s="467">
        <v>0</v>
      </c>
      <c r="Q273" s="464">
        <v>0</v>
      </c>
      <c r="R273" s="469">
        <v>0</v>
      </c>
      <c r="S273" s="467">
        <v>0</v>
      </c>
      <c r="T273" s="464">
        <v>0</v>
      </c>
      <c r="U273" s="469">
        <v>0</v>
      </c>
      <c r="V273" s="467">
        <v>0</v>
      </c>
      <c r="W273" s="464">
        <v>0</v>
      </c>
      <c r="X273" s="469">
        <v>0</v>
      </c>
      <c r="Y273" s="467">
        <v>0</v>
      </c>
      <c r="Z273" s="468">
        <v>0</v>
      </c>
      <c r="AA273" s="478">
        <v>0</v>
      </c>
      <c r="AB273" s="25"/>
      <c r="AC273" s="25"/>
      <c r="AD273" s="25"/>
      <c r="AE273" s="25"/>
      <c r="AF273" s="25"/>
      <c r="AG273" s="25"/>
      <c r="AH273" s="25"/>
      <c r="AI273" s="25"/>
      <c r="AJ273" s="25"/>
      <c r="AK273" s="25"/>
      <c r="AL273" s="25"/>
      <c r="AM273" s="25"/>
      <c r="AN273" s="25"/>
      <c r="AO273" s="25"/>
      <c r="AP273" s="25"/>
      <c r="AQ273" s="25"/>
      <c r="AR273" s="25"/>
      <c r="AS273" s="25"/>
      <c r="AT273" s="25"/>
      <c r="AU273" s="25"/>
      <c r="AV273" s="25"/>
      <c r="AW273" s="25"/>
      <c r="AX273" s="25"/>
      <c r="AY273" s="25"/>
      <c r="AZ273" s="25"/>
      <c r="BA273" s="25"/>
      <c r="BB273" s="25"/>
      <c r="BC273" s="25"/>
      <c r="BD273" s="25"/>
      <c r="BE273" s="25"/>
      <c r="BF273" s="25"/>
      <c r="BG273" s="25"/>
      <c r="BH273" s="25"/>
      <c r="BI273" s="25"/>
      <c r="BJ273" s="25"/>
      <c r="BK273" s="25"/>
      <c r="BL273" s="25"/>
      <c r="BM273" s="25"/>
      <c r="BN273" s="25"/>
      <c r="BO273" s="25"/>
      <c r="BP273" s="25"/>
      <c r="BQ273" s="25"/>
      <c r="BR273" s="25"/>
      <c r="BS273" s="25"/>
      <c r="BT273" s="25"/>
      <c r="BU273" s="25"/>
      <c r="BV273" s="25"/>
      <c r="BW273" s="25"/>
      <c r="BX273" s="25"/>
      <c r="BY273" s="25"/>
      <c r="BZ273" s="25"/>
      <c r="CA273" s="25"/>
      <c r="CB273" s="25"/>
      <c r="CC273" s="25"/>
      <c r="CD273" s="25"/>
      <c r="CE273" s="25"/>
      <c r="CF273" s="25"/>
      <c r="CG273" s="25"/>
      <c r="CH273" s="25"/>
      <c r="CI273" s="25"/>
      <c r="CJ273" s="25"/>
      <c r="CK273" s="25"/>
      <c r="CL273" s="25"/>
      <c r="CM273" s="25"/>
      <c r="CN273" s="25"/>
      <c r="CO273" s="25"/>
      <c r="CP273" s="25"/>
      <c r="CQ273" s="25"/>
      <c r="CR273" s="25"/>
      <c r="CS273" s="25"/>
      <c r="CT273" s="25"/>
      <c r="CU273" s="25"/>
      <c r="CV273" s="25"/>
      <c r="CW273" s="25"/>
      <c r="CX273" s="25"/>
      <c r="CY273" s="25"/>
      <c r="CZ273" s="25"/>
      <c r="DA273" s="25"/>
      <c r="DB273" s="25"/>
      <c r="DC273" s="25"/>
      <c r="DD273" s="25"/>
      <c r="DE273" s="25"/>
      <c r="DF273" s="25"/>
      <c r="DG273" s="25"/>
      <c r="DH273" s="25"/>
      <c r="DI273" s="25"/>
      <c r="DJ273" s="25"/>
      <c r="DK273" s="25"/>
      <c r="DL273" s="25"/>
      <c r="DM273" s="25"/>
      <c r="DN273" s="25"/>
      <c r="DO273" s="25"/>
      <c r="DP273" s="25"/>
      <c r="DQ273" s="25"/>
    </row>
    <row r="274" spans="1:121" s="23" customFormat="1" ht="24.95" customHeight="1" x14ac:dyDescent="0.25">
      <c r="A274" s="898">
        <v>230</v>
      </c>
      <c r="B274" s="666">
        <v>4357</v>
      </c>
      <c r="C274" s="667">
        <v>6121</v>
      </c>
      <c r="D274" s="1252">
        <v>6036</v>
      </c>
      <c r="E274" s="920" t="s">
        <v>307</v>
      </c>
      <c r="F274" s="439"/>
      <c r="G274" s="919">
        <v>400</v>
      </c>
      <c r="H274" s="919">
        <v>2012</v>
      </c>
      <c r="I274" s="918">
        <v>2019</v>
      </c>
      <c r="J274" s="462">
        <f t="shared" si="38"/>
        <v>4222</v>
      </c>
      <c r="K274" s="443">
        <v>2078</v>
      </c>
      <c r="L274" s="444">
        <v>0</v>
      </c>
      <c r="M274" s="465">
        <f t="shared" si="40"/>
        <v>2144</v>
      </c>
      <c r="N274" s="446">
        <v>2144</v>
      </c>
      <c r="O274" s="447">
        <v>0</v>
      </c>
      <c r="P274" s="448">
        <v>0</v>
      </c>
      <c r="Q274" s="444">
        <v>0</v>
      </c>
      <c r="R274" s="449">
        <v>0</v>
      </c>
      <c r="S274" s="448">
        <v>0</v>
      </c>
      <c r="T274" s="444">
        <v>0</v>
      </c>
      <c r="U274" s="449">
        <v>0</v>
      </c>
      <c r="V274" s="448">
        <v>0</v>
      </c>
      <c r="W274" s="444">
        <v>0</v>
      </c>
      <c r="X274" s="449">
        <v>0</v>
      </c>
      <c r="Y274" s="448">
        <v>0</v>
      </c>
      <c r="Z274" s="492">
        <v>0</v>
      </c>
      <c r="AA274" s="493">
        <v>0</v>
      </c>
      <c r="AB274" s="25"/>
      <c r="AC274" s="25"/>
      <c r="AD274" s="25"/>
      <c r="AE274" s="25"/>
      <c r="AF274" s="25"/>
      <c r="AG274" s="25"/>
      <c r="AH274" s="25"/>
      <c r="AI274" s="25"/>
      <c r="AJ274" s="25"/>
      <c r="AK274" s="25"/>
      <c r="AL274" s="25"/>
      <c r="AM274" s="25"/>
      <c r="AN274" s="25"/>
      <c r="AO274" s="25"/>
      <c r="AP274" s="25"/>
      <c r="AQ274" s="25"/>
      <c r="AR274" s="25"/>
      <c r="AS274" s="25"/>
      <c r="AT274" s="25"/>
      <c r="AU274" s="25"/>
      <c r="AV274" s="25"/>
      <c r="AW274" s="25"/>
      <c r="AX274" s="25"/>
      <c r="AY274" s="25"/>
      <c r="AZ274" s="25"/>
      <c r="BA274" s="25"/>
      <c r="BB274" s="25"/>
      <c r="BC274" s="25"/>
      <c r="BD274" s="25"/>
      <c r="BE274" s="25"/>
      <c r="BF274" s="25"/>
      <c r="BG274" s="25"/>
      <c r="BH274" s="25"/>
      <c r="BI274" s="25"/>
      <c r="BJ274" s="25"/>
      <c r="BK274" s="25"/>
      <c r="BL274" s="25"/>
      <c r="BM274" s="25"/>
      <c r="BN274" s="25"/>
      <c r="BO274" s="25"/>
      <c r="BP274" s="25"/>
      <c r="BQ274" s="25"/>
      <c r="BR274" s="25"/>
      <c r="BS274" s="25"/>
      <c r="BT274" s="25"/>
      <c r="BU274" s="25"/>
      <c r="BV274" s="25"/>
      <c r="BW274" s="25"/>
      <c r="BX274" s="25"/>
      <c r="BY274" s="25"/>
      <c r="BZ274" s="25"/>
      <c r="CA274" s="25"/>
      <c r="CB274" s="25"/>
      <c r="CC274" s="25"/>
      <c r="CD274" s="25"/>
      <c r="CE274" s="25"/>
      <c r="CF274" s="25"/>
      <c r="CG274" s="25"/>
      <c r="CH274" s="25"/>
      <c r="CI274" s="25"/>
      <c r="CJ274" s="25"/>
      <c r="CK274" s="25"/>
      <c r="CL274" s="25"/>
      <c r="CM274" s="25"/>
      <c r="CN274" s="25"/>
      <c r="CO274" s="25"/>
      <c r="CP274" s="25"/>
      <c r="CQ274" s="25"/>
      <c r="CR274" s="25"/>
      <c r="CS274" s="25"/>
      <c r="CT274" s="25"/>
      <c r="CU274" s="25"/>
      <c r="CV274" s="25"/>
      <c r="CW274" s="25"/>
      <c r="CX274" s="25"/>
      <c r="CY274" s="25"/>
      <c r="CZ274" s="25"/>
      <c r="DA274" s="25"/>
      <c r="DB274" s="25"/>
      <c r="DC274" s="25"/>
      <c r="DD274" s="25"/>
      <c r="DE274" s="25"/>
      <c r="DF274" s="25"/>
      <c r="DG274" s="25"/>
      <c r="DH274" s="25"/>
      <c r="DI274" s="25"/>
      <c r="DJ274" s="25"/>
      <c r="DK274" s="25"/>
      <c r="DL274" s="25"/>
      <c r="DM274" s="25"/>
      <c r="DN274" s="25"/>
      <c r="DO274" s="25"/>
      <c r="DP274" s="25"/>
      <c r="DQ274" s="25"/>
    </row>
    <row r="275" spans="1:121" s="23" customFormat="1" ht="24.95" customHeight="1" x14ac:dyDescent="0.25">
      <c r="A275" s="898">
        <v>230</v>
      </c>
      <c r="B275" s="666">
        <v>4357</v>
      </c>
      <c r="C275" s="667">
        <v>6121</v>
      </c>
      <c r="D275" s="1253">
        <v>6042</v>
      </c>
      <c r="E275" s="915" t="s">
        <v>306</v>
      </c>
      <c r="F275" s="439" t="s">
        <v>117</v>
      </c>
      <c r="G275" s="440">
        <v>400</v>
      </c>
      <c r="H275" s="440">
        <v>2004</v>
      </c>
      <c r="I275" s="441">
        <v>2020</v>
      </c>
      <c r="J275" s="442">
        <f t="shared" si="38"/>
        <v>9998</v>
      </c>
      <c r="K275" s="443">
        <v>198</v>
      </c>
      <c r="L275" s="444">
        <v>58</v>
      </c>
      <c r="M275" s="445">
        <f t="shared" si="40"/>
        <v>9742</v>
      </c>
      <c r="N275" s="446">
        <f>7941-59</f>
        <v>7882</v>
      </c>
      <c r="O275" s="447">
        <v>1860</v>
      </c>
      <c r="P275" s="448">
        <v>0</v>
      </c>
      <c r="Q275" s="444">
        <v>0</v>
      </c>
      <c r="R275" s="449">
        <v>0</v>
      </c>
      <c r="S275" s="448">
        <v>0</v>
      </c>
      <c r="T275" s="444">
        <v>0</v>
      </c>
      <c r="U275" s="449">
        <v>0</v>
      </c>
      <c r="V275" s="448">
        <v>0</v>
      </c>
      <c r="W275" s="444">
        <v>0</v>
      </c>
      <c r="X275" s="449">
        <v>0</v>
      </c>
      <c r="Y275" s="448">
        <v>0</v>
      </c>
      <c r="Z275" s="492">
        <v>0</v>
      </c>
      <c r="AA275" s="493">
        <v>0</v>
      </c>
      <c r="AB275" s="25"/>
      <c r="AC275" s="25"/>
      <c r="AD275" s="25"/>
      <c r="AE275" s="25"/>
      <c r="AF275" s="25"/>
      <c r="AG275" s="25"/>
      <c r="AH275" s="25"/>
      <c r="AI275" s="25"/>
      <c r="AJ275" s="25"/>
      <c r="AK275" s="25"/>
      <c r="AL275" s="25"/>
      <c r="AM275" s="25"/>
      <c r="AN275" s="25"/>
      <c r="AO275" s="25"/>
      <c r="AP275" s="25"/>
      <c r="AQ275" s="25"/>
      <c r="AR275" s="25"/>
      <c r="AS275" s="25"/>
      <c r="AT275" s="25"/>
      <c r="AU275" s="25"/>
      <c r="AV275" s="25"/>
      <c r="AW275" s="25"/>
      <c r="AX275" s="25"/>
      <c r="AY275" s="25"/>
      <c r="AZ275" s="25"/>
      <c r="BA275" s="25"/>
      <c r="BB275" s="25"/>
      <c r="BC275" s="25"/>
      <c r="BD275" s="25"/>
      <c r="BE275" s="25"/>
      <c r="BF275" s="25"/>
      <c r="BG275" s="25"/>
      <c r="BH275" s="25"/>
      <c r="BI275" s="25"/>
      <c r="BJ275" s="25"/>
      <c r="BK275" s="25"/>
      <c r="BL275" s="25"/>
      <c r="BM275" s="25"/>
      <c r="BN275" s="25"/>
      <c r="BO275" s="25"/>
      <c r="BP275" s="25"/>
      <c r="BQ275" s="25"/>
      <c r="BR275" s="25"/>
      <c r="BS275" s="25"/>
      <c r="BT275" s="25"/>
      <c r="BU275" s="25"/>
      <c r="BV275" s="25"/>
      <c r="BW275" s="25"/>
      <c r="BX275" s="25"/>
      <c r="BY275" s="25"/>
      <c r="BZ275" s="25"/>
      <c r="CA275" s="25"/>
      <c r="CB275" s="25"/>
      <c r="CC275" s="25"/>
      <c r="CD275" s="25"/>
      <c r="CE275" s="25"/>
      <c r="CF275" s="25"/>
      <c r="CG275" s="25"/>
      <c r="CH275" s="25"/>
      <c r="CI275" s="25"/>
      <c r="CJ275" s="25"/>
      <c r="CK275" s="25"/>
      <c r="CL275" s="25"/>
      <c r="CM275" s="25"/>
      <c r="CN275" s="25"/>
      <c r="CO275" s="25"/>
      <c r="CP275" s="25"/>
      <c r="CQ275" s="25"/>
      <c r="CR275" s="25"/>
      <c r="CS275" s="25"/>
      <c r="CT275" s="25"/>
      <c r="CU275" s="25"/>
      <c r="CV275" s="25"/>
      <c r="CW275" s="25"/>
      <c r="CX275" s="25"/>
      <c r="CY275" s="25"/>
      <c r="CZ275" s="25"/>
      <c r="DA275" s="25"/>
      <c r="DB275" s="25"/>
      <c r="DC275" s="25"/>
      <c r="DD275" s="25"/>
      <c r="DE275" s="25"/>
      <c r="DF275" s="25"/>
      <c r="DG275" s="25"/>
      <c r="DH275" s="25"/>
      <c r="DI275" s="25"/>
      <c r="DJ275" s="25"/>
      <c r="DK275" s="25"/>
      <c r="DL275" s="25"/>
      <c r="DM275" s="25"/>
      <c r="DN275" s="25"/>
      <c r="DO275" s="25"/>
      <c r="DP275" s="25"/>
      <c r="DQ275" s="25"/>
    </row>
    <row r="276" spans="1:121" s="23" customFormat="1" ht="24.95" customHeight="1" x14ac:dyDescent="0.25">
      <c r="A276" s="898">
        <v>230</v>
      </c>
      <c r="B276" s="666">
        <v>4357</v>
      </c>
      <c r="C276" s="667">
        <v>6121</v>
      </c>
      <c r="D276" s="1251">
        <v>6045</v>
      </c>
      <c r="E276" s="603" t="s">
        <v>305</v>
      </c>
      <c r="F276" s="110" t="s">
        <v>147</v>
      </c>
      <c r="G276" s="111">
        <v>400</v>
      </c>
      <c r="H276" s="111">
        <v>2015</v>
      </c>
      <c r="I276" s="112">
        <v>2022</v>
      </c>
      <c r="J276" s="462">
        <f t="shared" si="38"/>
        <v>414744</v>
      </c>
      <c r="K276" s="463">
        <v>1374</v>
      </c>
      <c r="L276" s="464">
        <v>401</v>
      </c>
      <c r="M276" s="465">
        <f t="shared" si="40"/>
        <v>2969</v>
      </c>
      <c r="N276" s="466">
        <f>3100-2131</f>
        <v>969</v>
      </c>
      <c r="O276" s="475">
        <v>2000</v>
      </c>
      <c r="P276" s="467">
        <v>0</v>
      </c>
      <c r="Q276" s="464">
        <v>0</v>
      </c>
      <c r="R276" s="469">
        <v>10000</v>
      </c>
      <c r="S276" s="467">
        <v>0</v>
      </c>
      <c r="T276" s="464">
        <v>0</v>
      </c>
      <c r="U276" s="469">
        <v>100000</v>
      </c>
      <c r="V276" s="467">
        <v>0</v>
      </c>
      <c r="W276" s="464">
        <v>0</v>
      </c>
      <c r="X276" s="469">
        <f>300000-150000</f>
        <v>150000</v>
      </c>
      <c r="Y276" s="467">
        <v>0</v>
      </c>
      <c r="Z276" s="468">
        <v>0</v>
      </c>
      <c r="AA276" s="478">
        <v>150000</v>
      </c>
      <c r="AB276" s="25"/>
      <c r="AC276" s="25"/>
      <c r="AD276" s="25"/>
      <c r="AE276" s="25"/>
      <c r="AF276" s="25"/>
      <c r="AG276" s="25"/>
      <c r="AH276" s="25"/>
      <c r="AI276" s="25"/>
      <c r="AJ276" s="25"/>
      <c r="AK276" s="25"/>
      <c r="AL276" s="25"/>
      <c r="AM276" s="25"/>
      <c r="AN276" s="25"/>
      <c r="AO276" s="25"/>
      <c r="AP276" s="25"/>
      <c r="AQ276" s="25"/>
      <c r="AR276" s="25"/>
      <c r="AS276" s="25"/>
      <c r="AT276" s="25"/>
      <c r="AU276" s="25"/>
      <c r="AV276" s="25"/>
      <c r="AW276" s="25"/>
      <c r="AX276" s="25"/>
      <c r="AY276" s="25"/>
      <c r="AZ276" s="25"/>
      <c r="BA276" s="25"/>
      <c r="BB276" s="25"/>
      <c r="BC276" s="25"/>
      <c r="BD276" s="25"/>
      <c r="BE276" s="25"/>
      <c r="BF276" s="25"/>
      <c r="BG276" s="25"/>
      <c r="BH276" s="25"/>
      <c r="BI276" s="25"/>
      <c r="BJ276" s="25"/>
      <c r="BK276" s="25"/>
      <c r="BL276" s="25"/>
      <c r="BM276" s="25"/>
      <c r="BN276" s="25"/>
      <c r="BO276" s="25"/>
      <c r="BP276" s="25"/>
      <c r="BQ276" s="25"/>
      <c r="BR276" s="25"/>
      <c r="BS276" s="25"/>
      <c r="BT276" s="25"/>
      <c r="BU276" s="25"/>
      <c r="BV276" s="25"/>
      <c r="BW276" s="25"/>
      <c r="BX276" s="25"/>
      <c r="BY276" s="25"/>
      <c r="BZ276" s="25"/>
      <c r="CA276" s="25"/>
      <c r="CB276" s="25"/>
      <c r="CC276" s="25"/>
      <c r="CD276" s="25"/>
      <c r="CE276" s="25"/>
      <c r="CF276" s="25"/>
      <c r="CG276" s="25"/>
      <c r="CH276" s="25"/>
      <c r="CI276" s="25"/>
      <c r="CJ276" s="25"/>
      <c r="CK276" s="25"/>
      <c r="CL276" s="25"/>
      <c r="CM276" s="25"/>
      <c r="CN276" s="25"/>
      <c r="CO276" s="25"/>
      <c r="CP276" s="25"/>
      <c r="CQ276" s="25"/>
      <c r="CR276" s="25"/>
      <c r="CS276" s="25"/>
      <c r="CT276" s="25"/>
      <c r="CU276" s="25"/>
      <c r="CV276" s="25"/>
      <c r="CW276" s="25"/>
      <c r="CX276" s="25"/>
      <c r="CY276" s="25"/>
      <c r="CZ276" s="25"/>
      <c r="DA276" s="25"/>
      <c r="DB276" s="25"/>
      <c r="DC276" s="25"/>
      <c r="DD276" s="25"/>
      <c r="DE276" s="25"/>
      <c r="DF276" s="25"/>
      <c r="DG276" s="25"/>
      <c r="DH276" s="25"/>
      <c r="DI276" s="25"/>
      <c r="DJ276" s="25"/>
      <c r="DK276" s="25"/>
      <c r="DL276" s="25"/>
      <c r="DM276" s="25"/>
      <c r="DN276" s="25"/>
      <c r="DO276" s="25"/>
      <c r="DP276" s="25"/>
      <c r="DQ276" s="25"/>
    </row>
    <row r="277" spans="1:121" s="23" customFormat="1" ht="24.95" customHeight="1" x14ac:dyDescent="0.25">
      <c r="A277" s="898">
        <v>230</v>
      </c>
      <c r="B277" s="666">
        <v>4357</v>
      </c>
      <c r="C277" s="667">
        <v>6121</v>
      </c>
      <c r="D277" s="1234">
        <v>6047</v>
      </c>
      <c r="E277" s="917" t="s">
        <v>304</v>
      </c>
      <c r="F277" s="110" t="s">
        <v>123</v>
      </c>
      <c r="G277" s="111">
        <v>400</v>
      </c>
      <c r="H277" s="111">
        <v>2017</v>
      </c>
      <c r="I277" s="112">
        <v>2020</v>
      </c>
      <c r="J277" s="462">
        <f t="shared" si="38"/>
        <v>2000</v>
      </c>
      <c r="K277" s="463">
        <v>0</v>
      </c>
      <c r="L277" s="464">
        <v>0</v>
      </c>
      <c r="M277" s="465">
        <f t="shared" si="40"/>
        <v>500</v>
      </c>
      <c r="N277" s="466">
        <v>0</v>
      </c>
      <c r="O277" s="475">
        <v>500</v>
      </c>
      <c r="P277" s="467">
        <v>0</v>
      </c>
      <c r="Q277" s="464">
        <v>0</v>
      </c>
      <c r="R277" s="469">
        <v>1500</v>
      </c>
      <c r="S277" s="467">
        <v>0</v>
      </c>
      <c r="T277" s="464">
        <v>0</v>
      </c>
      <c r="U277" s="469">
        <v>0</v>
      </c>
      <c r="V277" s="467">
        <v>0</v>
      </c>
      <c r="W277" s="464">
        <v>0</v>
      </c>
      <c r="X277" s="469">
        <v>0</v>
      </c>
      <c r="Y277" s="467">
        <v>0</v>
      </c>
      <c r="Z277" s="468">
        <v>0</v>
      </c>
      <c r="AA277" s="478">
        <v>0</v>
      </c>
      <c r="AB277" s="25"/>
      <c r="AC277" s="25"/>
      <c r="AD277" s="25"/>
      <c r="AE277" s="25"/>
      <c r="AF277" s="25"/>
      <c r="AG277" s="25"/>
      <c r="AH277" s="25"/>
      <c r="AI277" s="25"/>
      <c r="AJ277" s="25"/>
      <c r="AK277" s="25"/>
      <c r="AL277" s="25"/>
      <c r="AM277" s="25"/>
      <c r="AN277" s="25"/>
      <c r="AO277" s="25"/>
      <c r="AP277" s="25"/>
      <c r="AQ277" s="25"/>
      <c r="AR277" s="25"/>
      <c r="AS277" s="25"/>
      <c r="AT277" s="25"/>
      <c r="AU277" s="25"/>
      <c r="AV277" s="25"/>
      <c r="AW277" s="25"/>
      <c r="AX277" s="25"/>
      <c r="AY277" s="25"/>
      <c r="AZ277" s="25"/>
      <c r="BA277" s="25"/>
      <c r="BB277" s="25"/>
      <c r="BC277" s="25"/>
      <c r="BD277" s="25"/>
      <c r="BE277" s="25"/>
      <c r="BF277" s="25"/>
      <c r="BG277" s="25"/>
      <c r="BH277" s="25"/>
      <c r="BI277" s="25"/>
      <c r="BJ277" s="25"/>
      <c r="BK277" s="25"/>
      <c r="BL277" s="25"/>
      <c r="BM277" s="25"/>
      <c r="BN277" s="25"/>
      <c r="BO277" s="25"/>
      <c r="BP277" s="25"/>
      <c r="BQ277" s="25"/>
      <c r="BR277" s="25"/>
      <c r="BS277" s="25"/>
      <c r="BT277" s="25"/>
      <c r="BU277" s="25"/>
      <c r="BV277" s="25"/>
      <c r="BW277" s="25"/>
      <c r="BX277" s="25"/>
      <c r="BY277" s="25"/>
      <c r="BZ277" s="25"/>
      <c r="CA277" s="25"/>
      <c r="CB277" s="25"/>
      <c r="CC277" s="25"/>
      <c r="CD277" s="25"/>
      <c r="CE277" s="25"/>
      <c r="CF277" s="25"/>
      <c r="CG277" s="25"/>
      <c r="CH277" s="25"/>
      <c r="CI277" s="25"/>
      <c r="CJ277" s="25"/>
      <c r="CK277" s="25"/>
      <c r="CL277" s="25"/>
      <c r="CM277" s="25"/>
      <c r="CN277" s="25"/>
      <c r="CO277" s="25"/>
      <c r="CP277" s="25"/>
      <c r="CQ277" s="25"/>
      <c r="CR277" s="25"/>
      <c r="CS277" s="25"/>
      <c r="CT277" s="25"/>
      <c r="CU277" s="25"/>
      <c r="CV277" s="25"/>
      <c r="CW277" s="25"/>
      <c r="CX277" s="25"/>
      <c r="CY277" s="25"/>
      <c r="CZ277" s="25"/>
      <c r="DA277" s="25"/>
      <c r="DB277" s="25"/>
      <c r="DC277" s="25"/>
      <c r="DD277" s="25"/>
      <c r="DE277" s="25"/>
      <c r="DF277" s="25"/>
      <c r="DG277" s="25"/>
      <c r="DH277" s="25"/>
      <c r="DI277" s="25"/>
      <c r="DJ277" s="25"/>
      <c r="DK277" s="25"/>
      <c r="DL277" s="25"/>
      <c r="DM277" s="25"/>
      <c r="DN277" s="25"/>
      <c r="DO277" s="25"/>
      <c r="DP277" s="25"/>
      <c r="DQ277" s="25"/>
    </row>
    <row r="278" spans="1:121" s="23" customFormat="1" ht="24.95" customHeight="1" x14ac:dyDescent="0.25">
      <c r="A278" s="898">
        <v>230</v>
      </c>
      <c r="B278" s="666">
        <v>4357</v>
      </c>
      <c r="C278" s="667">
        <v>6121</v>
      </c>
      <c r="D278" s="1249">
        <v>6049</v>
      </c>
      <c r="E278" s="603" t="s">
        <v>303</v>
      </c>
      <c r="F278" s="110" t="s">
        <v>123</v>
      </c>
      <c r="G278" s="111">
        <v>400</v>
      </c>
      <c r="H278" s="111">
        <v>2016</v>
      </c>
      <c r="I278" s="112">
        <v>2019</v>
      </c>
      <c r="J278" s="462">
        <f t="shared" si="38"/>
        <v>37651</v>
      </c>
      <c r="K278" s="463">
        <v>75</v>
      </c>
      <c r="L278" s="464">
        <v>600</v>
      </c>
      <c r="M278" s="465">
        <f t="shared" si="40"/>
        <v>36976</v>
      </c>
      <c r="N278" s="466">
        <f>6200+776</f>
        <v>6976</v>
      </c>
      <c r="O278" s="475">
        <v>0</v>
      </c>
      <c r="P278" s="467">
        <v>30000</v>
      </c>
      <c r="Q278" s="464">
        <v>0</v>
      </c>
      <c r="R278" s="469">
        <v>0</v>
      </c>
      <c r="S278" s="467">
        <v>0</v>
      </c>
      <c r="T278" s="464">
        <v>0</v>
      </c>
      <c r="U278" s="469">
        <v>0</v>
      </c>
      <c r="V278" s="467">
        <v>0</v>
      </c>
      <c r="W278" s="464">
        <v>0</v>
      </c>
      <c r="X278" s="469">
        <v>0</v>
      </c>
      <c r="Y278" s="467">
        <v>0</v>
      </c>
      <c r="Z278" s="468">
        <v>0</v>
      </c>
      <c r="AA278" s="478">
        <v>0</v>
      </c>
      <c r="AB278" s="30"/>
      <c r="AC278" s="30"/>
      <c r="AD278" s="30"/>
      <c r="AE278" s="30"/>
      <c r="AF278" s="1181"/>
      <c r="AG278" s="25"/>
      <c r="AH278" s="25"/>
      <c r="AI278" s="25"/>
      <c r="AJ278" s="25"/>
      <c r="AK278" s="25"/>
      <c r="AL278" s="25"/>
      <c r="AM278" s="25"/>
      <c r="AN278" s="25"/>
      <c r="AO278" s="25"/>
      <c r="AP278" s="25"/>
      <c r="AQ278" s="25"/>
      <c r="AR278" s="25"/>
      <c r="AS278" s="25"/>
      <c r="AT278" s="25"/>
      <c r="AU278" s="25"/>
      <c r="AV278" s="25"/>
      <c r="AW278" s="25"/>
      <c r="AX278" s="25"/>
      <c r="AY278" s="25"/>
      <c r="AZ278" s="25"/>
      <c r="BA278" s="25"/>
      <c r="BB278" s="25"/>
      <c r="BC278" s="25"/>
      <c r="BD278" s="25"/>
      <c r="BE278" s="25"/>
      <c r="BF278" s="25"/>
      <c r="BG278" s="25"/>
      <c r="BH278" s="25"/>
      <c r="BI278" s="25"/>
      <c r="BJ278" s="25"/>
      <c r="BK278" s="25"/>
      <c r="BL278" s="25"/>
      <c r="BM278" s="25"/>
      <c r="BN278" s="25"/>
      <c r="BO278" s="25"/>
      <c r="BP278" s="25"/>
      <c r="BQ278" s="25"/>
      <c r="BR278" s="25"/>
      <c r="BS278" s="25"/>
      <c r="BT278" s="25"/>
      <c r="BU278" s="25"/>
      <c r="BV278" s="25"/>
      <c r="BW278" s="25"/>
      <c r="BX278" s="25"/>
      <c r="BY278" s="25"/>
      <c r="BZ278" s="25"/>
      <c r="CA278" s="25"/>
      <c r="CB278" s="25"/>
      <c r="CC278" s="25"/>
      <c r="CD278" s="25"/>
      <c r="CE278" s="25"/>
      <c r="CF278" s="25"/>
      <c r="CG278" s="25"/>
      <c r="CH278" s="25"/>
      <c r="CI278" s="25"/>
      <c r="CJ278" s="25"/>
      <c r="CK278" s="25"/>
      <c r="CL278" s="25"/>
      <c r="CM278" s="25"/>
      <c r="CN278" s="25"/>
      <c r="CO278" s="25"/>
      <c r="CP278" s="25"/>
      <c r="CQ278" s="25"/>
      <c r="CR278" s="25"/>
      <c r="CS278" s="25"/>
      <c r="CT278" s="25"/>
      <c r="CU278" s="25"/>
      <c r="CV278" s="25"/>
      <c r="CW278" s="25"/>
      <c r="CX278" s="25"/>
      <c r="CY278" s="25"/>
      <c r="CZ278" s="25"/>
      <c r="DA278" s="25"/>
      <c r="DB278" s="25"/>
      <c r="DC278" s="25"/>
      <c r="DD278" s="25"/>
      <c r="DE278" s="25"/>
      <c r="DF278" s="25"/>
      <c r="DG278" s="25"/>
      <c r="DH278" s="25"/>
      <c r="DI278" s="25"/>
      <c r="DJ278" s="25"/>
      <c r="DK278" s="25"/>
      <c r="DL278" s="25"/>
      <c r="DM278" s="25"/>
      <c r="DN278" s="25"/>
      <c r="DO278" s="25"/>
      <c r="DP278" s="25"/>
      <c r="DQ278" s="25"/>
    </row>
    <row r="279" spans="1:121" s="23" customFormat="1" ht="24.95" customHeight="1" x14ac:dyDescent="0.25">
      <c r="A279" s="898">
        <v>230</v>
      </c>
      <c r="B279" s="666">
        <v>4357</v>
      </c>
      <c r="C279" s="667">
        <v>6121</v>
      </c>
      <c r="D279" s="1249">
        <v>6050</v>
      </c>
      <c r="E279" s="603" t="s">
        <v>302</v>
      </c>
      <c r="F279" s="110" t="s">
        <v>123</v>
      </c>
      <c r="G279" s="111">
        <v>400</v>
      </c>
      <c r="H279" s="111">
        <v>2016</v>
      </c>
      <c r="I279" s="112">
        <v>2019</v>
      </c>
      <c r="J279" s="462">
        <f t="shared" si="38"/>
        <v>47368</v>
      </c>
      <c r="K279" s="463">
        <v>45</v>
      </c>
      <c r="L279" s="464">
        <v>600</v>
      </c>
      <c r="M279" s="465">
        <f t="shared" si="40"/>
        <v>46723</v>
      </c>
      <c r="N279" s="466">
        <f>6723</f>
        <v>6723</v>
      </c>
      <c r="O279" s="475">
        <v>0</v>
      </c>
      <c r="P279" s="467">
        <v>40000</v>
      </c>
      <c r="Q279" s="464">
        <v>0</v>
      </c>
      <c r="R279" s="469">
        <v>0</v>
      </c>
      <c r="S279" s="467">
        <v>0</v>
      </c>
      <c r="T279" s="464">
        <v>0</v>
      </c>
      <c r="U279" s="469">
        <v>0</v>
      </c>
      <c r="V279" s="467">
        <v>0</v>
      </c>
      <c r="W279" s="464">
        <v>0</v>
      </c>
      <c r="X279" s="469">
        <v>0</v>
      </c>
      <c r="Y279" s="467">
        <v>0</v>
      </c>
      <c r="Z279" s="468">
        <v>0</v>
      </c>
      <c r="AA279" s="478">
        <v>0</v>
      </c>
      <c r="AB279" s="30"/>
      <c r="AC279" s="30"/>
      <c r="AD279" s="30"/>
      <c r="AE279" s="30"/>
      <c r="AF279" s="1181"/>
      <c r="AG279" s="25"/>
      <c r="AH279" s="25"/>
      <c r="AI279" s="25"/>
      <c r="AJ279" s="25"/>
      <c r="AK279" s="25"/>
      <c r="AL279" s="25"/>
      <c r="AM279" s="25"/>
      <c r="AN279" s="25"/>
      <c r="AO279" s="25"/>
      <c r="AP279" s="25"/>
      <c r="AQ279" s="25"/>
      <c r="AR279" s="25"/>
      <c r="AS279" s="25"/>
      <c r="AT279" s="25"/>
      <c r="AU279" s="25"/>
      <c r="AV279" s="25"/>
      <c r="AW279" s="25"/>
      <c r="AX279" s="25"/>
      <c r="AY279" s="25"/>
      <c r="AZ279" s="25"/>
      <c r="BA279" s="25"/>
      <c r="BB279" s="25"/>
      <c r="BC279" s="25"/>
      <c r="BD279" s="25"/>
      <c r="BE279" s="25"/>
      <c r="BF279" s="25"/>
      <c r="BG279" s="25"/>
      <c r="BH279" s="25"/>
      <c r="BI279" s="25"/>
      <c r="BJ279" s="25"/>
      <c r="BK279" s="25"/>
      <c r="BL279" s="25"/>
      <c r="BM279" s="25"/>
      <c r="BN279" s="25"/>
      <c r="BO279" s="25"/>
      <c r="BP279" s="25"/>
      <c r="BQ279" s="25"/>
      <c r="BR279" s="25"/>
      <c r="BS279" s="25"/>
      <c r="BT279" s="25"/>
      <c r="BU279" s="25"/>
      <c r="BV279" s="25"/>
      <c r="BW279" s="25"/>
      <c r="BX279" s="25"/>
      <c r="BY279" s="25"/>
      <c r="BZ279" s="25"/>
      <c r="CA279" s="25"/>
      <c r="CB279" s="25"/>
      <c r="CC279" s="25"/>
      <c r="CD279" s="25"/>
      <c r="CE279" s="25"/>
      <c r="CF279" s="25"/>
      <c r="CG279" s="25"/>
      <c r="CH279" s="25"/>
      <c r="CI279" s="25"/>
      <c r="CJ279" s="25"/>
      <c r="CK279" s="25"/>
      <c r="CL279" s="25"/>
      <c r="CM279" s="25"/>
      <c r="CN279" s="25"/>
      <c r="CO279" s="25"/>
      <c r="CP279" s="25"/>
      <c r="CQ279" s="25"/>
      <c r="CR279" s="25"/>
      <c r="CS279" s="25"/>
      <c r="CT279" s="25"/>
      <c r="CU279" s="25"/>
      <c r="CV279" s="25"/>
      <c r="CW279" s="25"/>
      <c r="CX279" s="25"/>
      <c r="CY279" s="25"/>
      <c r="CZ279" s="25"/>
      <c r="DA279" s="25"/>
      <c r="DB279" s="25"/>
      <c r="DC279" s="25"/>
      <c r="DD279" s="25"/>
      <c r="DE279" s="25"/>
      <c r="DF279" s="25"/>
      <c r="DG279" s="25"/>
      <c r="DH279" s="25"/>
      <c r="DI279" s="25"/>
      <c r="DJ279" s="25"/>
      <c r="DK279" s="25"/>
      <c r="DL279" s="25"/>
      <c r="DM279" s="25"/>
      <c r="DN279" s="25"/>
      <c r="DO279" s="25"/>
      <c r="DP279" s="25"/>
      <c r="DQ279" s="25"/>
    </row>
    <row r="280" spans="1:121" s="23" customFormat="1" ht="24.95" customHeight="1" x14ac:dyDescent="0.25">
      <c r="A280" s="898">
        <v>230</v>
      </c>
      <c r="B280" s="666">
        <v>4357</v>
      </c>
      <c r="C280" s="667">
        <v>6121</v>
      </c>
      <c r="D280" s="1253">
        <v>6051</v>
      </c>
      <c r="E280" s="915" t="s">
        <v>301</v>
      </c>
      <c r="F280" s="110"/>
      <c r="G280" s="111">
        <v>400</v>
      </c>
      <c r="H280" s="111">
        <v>2017</v>
      </c>
      <c r="I280" s="112">
        <v>2021</v>
      </c>
      <c r="J280" s="462">
        <f t="shared" si="38"/>
        <v>1353</v>
      </c>
      <c r="K280" s="463">
        <v>286</v>
      </c>
      <c r="L280" s="464">
        <v>308</v>
      </c>
      <c r="M280" s="465">
        <f t="shared" si="40"/>
        <v>759</v>
      </c>
      <c r="N280" s="466">
        <f>500-241</f>
        <v>259</v>
      </c>
      <c r="O280" s="475">
        <v>500</v>
      </c>
      <c r="P280" s="467">
        <v>0</v>
      </c>
      <c r="Q280" s="464">
        <v>0</v>
      </c>
      <c r="R280" s="469">
        <v>0</v>
      </c>
      <c r="S280" s="467">
        <v>0</v>
      </c>
      <c r="T280" s="464">
        <v>0</v>
      </c>
      <c r="U280" s="469">
        <v>0</v>
      </c>
      <c r="V280" s="467">
        <v>0</v>
      </c>
      <c r="W280" s="464">
        <v>0</v>
      </c>
      <c r="X280" s="469">
        <v>0</v>
      </c>
      <c r="Y280" s="467">
        <v>0</v>
      </c>
      <c r="Z280" s="468">
        <v>0</v>
      </c>
      <c r="AA280" s="478">
        <v>0</v>
      </c>
      <c r="AB280" s="25"/>
      <c r="AC280" s="25"/>
      <c r="AD280" s="25"/>
      <c r="AE280" s="25"/>
      <c r="AF280" s="25"/>
      <c r="AG280" s="25"/>
      <c r="AH280" s="25"/>
      <c r="AI280" s="25"/>
      <c r="AJ280" s="25"/>
      <c r="AK280" s="25"/>
      <c r="AL280" s="25"/>
      <c r="AM280" s="25"/>
      <c r="AN280" s="25"/>
      <c r="AO280" s="25"/>
      <c r="AP280" s="25"/>
      <c r="AQ280" s="25"/>
      <c r="AR280" s="25"/>
      <c r="AS280" s="25"/>
      <c r="AT280" s="25"/>
      <c r="AU280" s="25"/>
      <c r="AV280" s="25"/>
      <c r="AW280" s="25"/>
      <c r="AX280" s="25"/>
      <c r="AY280" s="25"/>
      <c r="AZ280" s="25"/>
      <c r="BA280" s="25"/>
      <c r="BB280" s="25"/>
      <c r="BC280" s="25"/>
      <c r="BD280" s="25"/>
      <c r="BE280" s="25"/>
      <c r="BF280" s="25"/>
      <c r="BG280" s="25"/>
      <c r="BH280" s="25"/>
      <c r="BI280" s="25"/>
      <c r="BJ280" s="25"/>
      <c r="BK280" s="25"/>
      <c r="BL280" s="25"/>
      <c r="BM280" s="25"/>
      <c r="BN280" s="25"/>
      <c r="BO280" s="25"/>
      <c r="BP280" s="25"/>
      <c r="BQ280" s="25"/>
      <c r="BR280" s="25"/>
      <c r="BS280" s="25"/>
      <c r="BT280" s="25"/>
      <c r="BU280" s="25"/>
      <c r="BV280" s="25"/>
      <c r="BW280" s="25"/>
      <c r="BX280" s="25"/>
      <c r="BY280" s="25"/>
      <c r="BZ280" s="25"/>
      <c r="CA280" s="25"/>
      <c r="CB280" s="25"/>
      <c r="CC280" s="25"/>
      <c r="CD280" s="25"/>
      <c r="CE280" s="25"/>
      <c r="CF280" s="25"/>
      <c r="CG280" s="25"/>
      <c r="CH280" s="25"/>
      <c r="CI280" s="25"/>
      <c r="CJ280" s="25"/>
      <c r="CK280" s="25"/>
      <c r="CL280" s="25"/>
      <c r="CM280" s="25"/>
      <c r="CN280" s="25"/>
      <c r="CO280" s="25"/>
      <c r="CP280" s="25"/>
      <c r="CQ280" s="25"/>
      <c r="CR280" s="25"/>
      <c r="CS280" s="25"/>
      <c r="CT280" s="25"/>
      <c r="CU280" s="25"/>
      <c r="CV280" s="25"/>
      <c r="CW280" s="25"/>
      <c r="CX280" s="25"/>
      <c r="CY280" s="25"/>
      <c r="CZ280" s="25"/>
      <c r="DA280" s="25"/>
      <c r="DB280" s="25"/>
      <c r="DC280" s="25"/>
      <c r="DD280" s="25"/>
      <c r="DE280" s="25"/>
      <c r="DF280" s="25"/>
      <c r="DG280" s="25"/>
      <c r="DH280" s="25"/>
      <c r="DI280" s="25"/>
      <c r="DJ280" s="25"/>
      <c r="DK280" s="25"/>
      <c r="DL280" s="25"/>
      <c r="DM280" s="25"/>
      <c r="DN280" s="25"/>
      <c r="DO280" s="25"/>
      <c r="DP280" s="25"/>
      <c r="DQ280" s="25"/>
    </row>
    <row r="281" spans="1:121" s="23" customFormat="1" ht="24.95" customHeight="1" x14ac:dyDescent="0.25">
      <c r="A281" s="898">
        <v>230</v>
      </c>
      <c r="B281" s="666">
        <v>4357</v>
      </c>
      <c r="C281" s="667">
        <v>6121</v>
      </c>
      <c r="D281" s="1234">
        <v>6053</v>
      </c>
      <c r="E281" s="917" t="s">
        <v>300</v>
      </c>
      <c r="F281" s="110" t="s">
        <v>117</v>
      </c>
      <c r="G281" s="111">
        <v>400</v>
      </c>
      <c r="H281" s="111">
        <v>2018</v>
      </c>
      <c r="I281" s="112">
        <v>2019</v>
      </c>
      <c r="J281" s="462">
        <f t="shared" si="38"/>
        <v>800</v>
      </c>
      <c r="K281" s="463">
        <v>0</v>
      </c>
      <c r="L281" s="464">
        <v>0</v>
      </c>
      <c r="M281" s="465">
        <f t="shared" si="40"/>
        <v>800</v>
      </c>
      <c r="N281" s="466">
        <v>800</v>
      </c>
      <c r="O281" s="475">
        <v>0</v>
      </c>
      <c r="P281" s="467">
        <v>0</v>
      </c>
      <c r="Q281" s="464">
        <v>0</v>
      </c>
      <c r="R281" s="469">
        <v>0</v>
      </c>
      <c r="S281" s="467">
        <v>0</v>
      </c>
      <c r="T281" s="464">
        <v>0</v>
      </c>
      <c r="U281" s="469">
        <v>0</v>
      </c>
      <c r="V281" s="467">
        <v>0</v>
      </c>
      <c r="W281" s="464">
        <v>0</v>
      </c>
      <c r="X281" s="469">
        <v>0</v>
      </c>
      <c r="Y281" s="467">
        <v>0</v>
      </c>
      <c r="Z281" s="468">
        <v>0</v>
      </c>
      <c r="AA281" s="478">
        <v>0</v>
      </c>
      <c r="AB281" s="25"/>
      <c r="AC281" s="25"/>
      <c r="AD281" s="25"/>
      <c r="AE281" s="25"/>
      <c r="AF281" s="25"/>
      <c r="AG281" s="25"/>
      <c r="AH281" s="25"/>
      <c r="AI281" s="25"/>
      <c r="AJ281" s="25"/>
      <c r="AK281" s="25"/>
      <c r="AL281" s="25"/>
      <c r="AM281" s="25"/>
      <c r="AN281" s="25"/>
      <c r="AO281" s="25"/>
      <c r="AP281" s="25"/>
      <c r="AQ281" s="25"/>
      <c r="AR281" s="25"/>
      <c r="AS281" s="25"/>
      <c r="AT281" s="25"/>
      <c r="AU281" s="25"/>
      <c r="AV281" s="25"/>
      <c r="AW281" s="25"/>
      <c r="AX281" s="25"/>
      <c r="AY281" s="25"/>
      <c r="AZ281" s="25"/>
      <c r="BA281" s="25"/>
      <c r="BB281" s="25"/>
      <c r="BC281" s="25"/>
      <c r="BD281" s="25"/>
      <c r="BE281" s="25"/>
      <c r="BF281" s="25"/>
      <c r="BG281" s="25"/>
      <c r="BH281" s="25"/>
      <c r="BI281" s="25"/>
      <c r="BJ281" s="25"/>
      <c r="BK281" s="25"/>
      <c r="BL281" s="25"/>
      <c r="BM281" s="25"/>
      <c r="BN281" s="25"/>
      <c r="BO281" s="25"/>
      <c r="BP281" s="25"/>
      <c r="BQ281" s="25"/>
      <c r="BR281" s="25"/>
      <c r="BS281" s="25"/>
      <c r="BT281" s="25"/>
      <c r="BU281" s="25"/>
      <c r="BV281" s="25"/>
      <c r="BW281" s="25"/>
      <c r="BX281" s="25"/>
      <c r="BY281" s="25"/>
      <c r="BZ281" s="25"/>
      <c r="CA281" s="25"/>
      <c r="CB281" s="25"/>
      <c r="CC281" s="25"/>
      <c r="CD281" s="25"/>
      <c r="CE281" s="25"/>
      <c r="CF281" s="25"/>
      <c r="CG281" s="25"/>
      <c r="CH281" s="25"/>
      <c r="CI281" s="25"/>
      <c r="CJ281" s="25"/>
      <c r="CK281" s="25"/>
      <c r="CL281" s="25"/>
      <c r="CM281" s="25"/>
      <c r="CN281" s="25"/>
      <c r="CO281" s="25"/>
      <c r="CP281" s="25"/>
      <c r="CQ281" s="25"/>
      <c r="CR281" s="25"/>
      <c r="CS281" s="25"/>
      <c r="CT281" s="25"/>
      <c r="CU281" s="25"/>
      <c r="CV281" s="25"/>
      <c r="CW281" s="25"/>
      <c r="CX281" s="25"/>
      <c r="CY281" s="25"/>
      <c r="CZ281" s="25"/>
      <c r="DA281" s="25"/>
      <c r="DB281" s="25"/>
      <c r="DC281" s="25"/>
      <c r="DD281" s="25"/>
      <c r="DE281" s="25"/>
      <c r="DF281" s="25"/>
      <c r="DG281" s="25"/>
      <c r="DH281" s="25"/>
      <c r="DI281" s="25"/>
      <c r="DJ281" s="25"/>
      <c r="DK281" s="25"/>
      <c r="DL281" s="25"/>
      <c r="DM281" s="25"/>
      <c r="DN281" s="25"/>
      <c r="DO281" s="25"/>
      <c r="DP281" s="25"/>
      <c r="DQ281" s="25"/>
    </row>
    <row r="282" spans="1:121" s="23" customFormat="1" ht="24.95" customHeight="1" x14ac:dyDescent="0.25">
      <c r="A282" s="898">
        <v>230</v>
      </c>
      <c r="B282" s="666">
        <v>4357</v>
      </c>
      <c r="C282" s="667">
        <v>6121</v>
      </c>
      <c r="D282" s="1254">
        <v>6055</v>
      </c>
      <c r="E282" s="603" t="s">
        <v>299</v>
      </c>
      <c r="F282" s="110" t="s">
        <v>117</v>
      </c>
      <c r="G282" s="111">
        <v>400</v>
      </c>
      <c r="H282" s="111">
        <v>2018</v>
      </c>
      <c r="I282" s="112">
        <v>2019</v>
      </c>
      <c r="J282" s="462">
        <f t="shared" si="38"/>
        <v>1800</v>
      </c>
      <c r="K282" s="463">
        <v>0</v>
      </c>
      <c r="L282" s="464">
        <v>0</v>
      </c>
      <c r="M282" s="465">
        <f t="shared" si="40"/>
        <v>1800</v>
      </c>
      <c r="N282" s="466">
        <f>500+1300</f>
        <v>1800</v>
      </c>
      <c r="O282" s="475">
        <v>0</v>
      </c>
      <c r="P282" s="467">
        <v>0</v>
      </c>
      <c r="Q282" s="464">
        <v>0</v>
      </c>
      <c r="R282" s="469">
        <v>0</v>
      </c>
      <c r="S282" s="467">
        <v>0</v>
      </c>
      <c r="T282" s="464">
        <v>0</v>
      </c>
      <c r="U282" s="469">
        <v>0</v>
      </c>
      <c r="V282" s="467">
        <v>0</v>
      </c>
      <c r="W282" s="464">
        <v>0</v>
      </c>
      <c r="X282" s="469">
        <v>0</v>
      </c>
      <c r="Y282" s="467">
        <v>0</v>
      </c>
      <c r="Z282" s="468">
        <v>0</v>
      </c>
      <c r="AA282" s="478">
        <v>0</v>
      </c>
      <c r="AB282" s="25"/>
      <c r="AC282" s="25"/>
      <c r="AD282" s="25"/>
      <c r="AE282" s="25"/>
      <c r="AF282" s="25"/>
      <c r="AG282" s="25"/>
      <c r="AH282" s="25"/>
      <c r="AI282" s="25"/>
      <c r="AJ282" s="25"/>
      <c r="AK282" s="25"/>
      <c r="AL282" s="25"/>
      <c r="AM282" s="25"/>
      <c r="AN282" s="25"/>
      <c r="AO282" s="25"/>
      <c r="AP282" s="25"/>
      <c r="AQ282" s="25"/>
      <c r="AR282" s="25"/>
      <c r="AS282" s="25"/>
      <c r="AT282" s="25"/>
      <c r="AU282" s="25"/>
      <c r="AV282" s="25"/>
      <c r="AW282" s="25"/>
      <c r="AX282" s="25"/>
      <c r="AY282" s="25"/>
      <c r="AZ282" s="25"/>
      <c r="BA282" s="25"/>
      <c r="BB282" s="25"/>
      <c r="BC282" s="25"/>
      <c r="BD282" s="25"/>
      <c r="BE282" s="25"/>
      <c r="BF282" s="25"/>
      <c r="BG282" s="25"/>
      <c r="BH282" s="25"/>
      <c r="BI282" s="25"/>
      <c r="BJ282" s="25"/>
      <c r="BK282" s="25"/>
      <c r="BL282" s="25"/>
      <c r="BM282" s="25"/>
      <c r="BN282" s="25"/>
      <c r="BO282" s="25"/>
      <c r="BP282" s="25"/>
      <c r="BQ282" s="25"/>
      <c r="BR282" s="25"/>
      <c r="BS282" s="25"/>
      <c r="BT282" s="25"/>
      <c r="BU282" s="25"/>
      <c r="BV282" s="25"/>
      <c r="BW282" s="25"/>
      <c r="BX282" s="25"/>
      <c r="BY282" s="25"/>
      <c r="BZ282" s="25"/>
      <c r="CA282" s="25"/>
      <c r="CB282" s="25"/>
      <c r="CC282" s="25"/>
      <c r="CD282" s="25"/>
      <c r="CE282" s="25"/>
      <c r="CF282" s="25"/>
      <c r="CG282" s="25"/>
      <c r="CH282" s="25"/>
      <c r="CI282" s="25"/>
      <c r="CJ282" s="25"/>
      <c r="CK282" s="25"/>
      <c r="CL282" s="25"/>
      <c r="CM282" s="25"/>
      <c r="CN282" s="25"/>
      <c r="CO282" s="25"/>
      <c r="CP282" s="25"/>
      <c r="CQ282" s="25"/>
      <c r="CR282" s="25"/>
      <c r="CS282" s="25"/>
      <c r="CT282" s="25"/>
      <c r="CU282" s="25"/>
      <c r="CV282" s="25"/>
      <c r="CW282" s="25"/>
      <c r="CX282" s="25"/>
      <c r="CY282" s="25"/>
      <c r="CZ282" s="25"/>
      <c r="DA282" s="25"/>
      <c r="DB282" s="25"/>
      <c r="DC282" s="25"/>
      <c r="DD282" s="25"/>
      <c r="DE282" s="25"/>
      <c r="DF282" s="25"/>
      <c r="DG282" s="25"/>
      <c r="DH282" s="25"/>
      <c r="DI282" s="25"/>
      <c r="DJ282" s="25"/>
      <c r="DK282" s="25"/>
      <c r="DL282" s="25"/>
      <c r="DM282" s="25"/>
      <c r="DN282" s="25"/>
      <c r="DO282" s="25"/>
      <c r="DP282" s="25"/>
      <c r="DQ282" s="25"/>
    </row>
    <row r="283" spans="1:121" s="23" customFormat="1" ht="24.95" customHeight="1" x14ac:dyDescent="0.25">
      <c r="A283" s="898">
        <v>230</v>
      </c>
      <c r="B283" s="666">
        <v>4357</v>
      </c>
      <c r="C283" s="667">
        <v>6121</v>
      </c>
      <c r="D283" s="1255">
        <v>6056</v>
      </c>
      <c r="E283" s="916" t="s">
        <v>298</v>
      </c>
      <c r="F283" s="110" t="s">
        <v>123</v>
      </c>
      <c r="G283" s="111">
        <v>400</v>
      </c>
      <c r="H283" s="111">
        <v>2018</v>
      </c>
      <c r="I283" s="112">
        <v>2019</v>
      </c>
      <c r="J283" s="462">
        <f t="shared" si="38"/>
        <v>3531</v>
      </c>
      <c r="K283" s="463">
        <v>0</v>
      </c>
      <c r="L283" s="464">
        <v>341</v>
      </c>
      <c r="M283" s="465">
        <f t="shared" si="40"/>
        <v>3190</v>
      </c>
      <c r="N283" s="466">
        <f>3159+31</f>
        <v>3190</v>
      </c>
      <c r="O283" s="475">
        <v>0</v>
      </c>
      <c r="P283" s="467">
        <v>0</v>
      </c>
      <c r="Q283" s="464">
        <v>0</v>
      </c>
      <c r="R283" s="469">
        <v>0</v>
      </c>
      <c r="S283" s="467">
        <v>0</v>
      </c>
      <c r="T283" s="464">
        <v>0</v>
      </c>
      <c r="U283" s="469">
        <v>0</v>
      </c>
      <c r="V283" s="467">
        <v>0</v>
      </c>
      <c r="W283" s="464">
        <v>0</v>
      </c>
      <c r="X283" s="469">
        <v>0</v>
      </c>
      <c r="Y283" s="467">
        <v>0</v>
      </c>
      <c r="Z283" s="468">
        <v>0</v>
      </c>
      <c r="AA283" s="478">
        <v>0</v>
      </c>
      <c r="AB283" s="25"/>
      <c r="AC283" s="25"/>
      <c r="AD283" s="25"/>
      <c r="AE283" s="25"/>
      <c r="AF283" s="25"/>
      <c r="AG283" s="25"/>
      <c r="AH283" s="25"/>
      <c r="AI283" s="25"/>
      <c r="AJ283" s="25"/>
      <c r="AK283" s="25"/>
      <c r="AL283" s="25"/>
      <c r="AM283" s="25"/>
      <c r="AN283" s="25"/>
      <c r="AO283" s="25"/>
      <c r="AP283" s="25"/>
      <c r="AQ283" s="25"/>
      <c r="AR283" s="25"/>
      <c r="AS283" s="25"/>
      <c r="AT283" s="25"/>
      <c r="AU283" s="25"/>
      <c r="AV283" s="25"/>
      <c r="AW283" s="25"/>
      <c r="AX283" s="25"/>
      <c r="AY283" s="25"/>
      <c r="AZ283" s="25"/>
      <c r="BA283" s="25"/>
      <c r="BB283" s="25"/>
      <c r="BC283" s="25"/>
      <c r="BD283" s="25"/>
      <c r="BE283" s="25"/>
      <c r="BF283" s="25"/>
      <c r="BG283" s="25"/>
      <c r="BH283" s="25"/>
      <c r="BI283" s="25"/>
      <c r="BJ283" s="25"/>
      <c r="BK283" s="25"/>
      <c r="BL283" s="25"/>
      <c r="BM283" s="25"/>
      <c r="BN283" s="25"/>
      <c r="BO283" s="25"/>
      <c r="BP283" s="25"/>
      <c r="BQ283" s="25"/>
      <c r="BR283" s="25"/>
      <c r="BS283" s="25"/>
      <c r="BT283" s="25"/>
      <c r="BU283" s="25"/>
      <c r="BV283" s="25"/>
      <c r="BW283" s="25"/>
      <c r="BX283" s="25"/>
      <c r="BY283" s="25"/>
      <c r="BZ283" s="25"/>
      <c r="CA283" s="25"/>
      <c r="CB283" s="25"/>
      <c r="CC283" s="25"/>
      <c r="CD283" s="25"/>
      <c r="CE283" s="25"/>
      <c r="CF283" s="25"/>
      <c r="CG283" s="25"/>
      <c r="CH283" s="25"/>
      <c r="CI283" s="25"/>
      <c r="CJ283" s="25"/>
      <c r="CK283" s="25"/>
      <c r="CL283" s="25"/>
      <c r="CM283" s="25"/>
      <c r="CN283" s="25"/>
      <c r="CO283" s="25"/>
      <c r="CP283" s="25"/>
      <c r="CQ283" s="25"/>
      <c r="CR283" s="25"/>
      <c r="CS283" s="25"/>
      <c r="CT283" s="25"/>
      <c r="CU283" s="25"/>
      <c r="CV283" s="25"/>
      <c r="CW283" s="25"/>
      <c r="CX283" s="25"/>
      <c r="CY283" s="25"/>
      <c r="CZ283" s="25"/>
      <c r="DA283" s="25"/>
      <c r="DB283" s="25"/>
      <c r="DC283" s="25"/>
      <c r="DD283" s="25"/>
      <c r="DE283" s="25"/>
      <c r="DF283" s="25"/>
      <c r="DG283" s="25"/>
      <c r="DH283" s="25"/>
      <c r="DI283" s="25"/>
      <c r="DJ283" s="25"/>
      <c r="DK283" s="25"/>
      <c r="DL283" s="25"/>
      <c r="DM283" s="25"/>
      <c r="DN283" s="25"/>
      <c r="DO283" s="25"/>
      <c r="DP283" s="25"/>
      <c r="DQ283" s="25"/>
    </row>
    <row r="284" spans="1:121" s="23" customFormat="1" ht="24.95" customHeight="1" x14ac:dyDescent="0.25">
      <c r="A284" s="898">
        <v>230</v>
      </c>
      <c r="B284" s="666">
        <v>4357</v>
      </c>
      <c r="C284" s="667">
        <v>6121</v>
      </c>
      <c r="D284" s="1253">
        <v>6057</v>
      </c>
      <c r="E284" s="915" t="s">
        <v>297</v>
      </c>
      <c r="F284" s="110"/>
      <c r="G284" s="111">
        <v>400</v>
      </c>
      <c r="H284" s="111">
        <v>2018</v>
      </c>
      <c r="I284" s="112">
        <v>2019</v>
      </c>
      <c r="J284" s="462">
        <f t="shared" si="38"/>
        <v>1800</v>
      </c>
      <c r="K284" s="463">
        <v>0</v>
      </c>
      <c r="L284" s="464">
        <v>0</v>
      </c>
      <c r="M284" s="465">
        <f t="shared" si="40"/>
        <v>1800</v>
      </c>
      <c r="N284" s="466">
        <v>1800</v>
      </c>
      <c r="O284" s="475">
        <v>0</v>
      </c>
      <c r="P284" s="467">
        <v>0</v>
      </c>
      <c r="Q284" s="464">
        <v>0</v>
      </c>
      <c r="R284" s="469">
        <v>0</v>
      </c>
      <c r="S284" s="467">
        <v>0</v>
      </c>
      <c r="T284" s="464">
        <v>0</v>
      </c>
      <c r="U284" s="469">
        <v>0</v>
      </c>
      <c r="V284" s="467">
        <v>0</v>
      </c>
      <c r="W284" s="464">
        <v>0</v>
      </c>
      <c r="X284" s="469">
        <v>0</v>
      </c>
      <c r="Y284" s="467">
        <v>0</v>
      </c>
      <c r="Z284" s="468">
        <v>0</v>
      </c>
      <c r="AA284" s="478">
        <v>0</v>
      </c>
      <c r="AB284" s="25"/>
      <c r="AC284" s="25"/>
      <c r="AD284" s="25"/>
      <c r="AE284" s="25"/>
      <c r="AF284" s="25"/>
      <c r="AG284" s="25"/>
      <c r="AH284" s="25"/>
      <c r="AI284" s="25"/>
      <c r="AJ284" s="25"/>
      <c r="AK284" s="25"/>
      <c r="AL284" s="25"/>
      <c r="AM284" s="25"/>
      <c r="AN284" s="25"/>
      <c r="AO284" s="25"/>
      <c r="AP284" s="25"/>
      <c r="AQ284" s="25"/>
      <c r="AR284" s="25"/>
      <c r="AS284" s="25"/>
      <c r="AT284" s="25"/>
      <c r="AU284" s="25"/>
      <c r="AV284" s="25"/>
      <c r="AW284" s="25"/>
      <c r="AX284" s="25"/>
      <c r="AY284" s="25"/>
      <c r="AZ284" s="25"/>
      <c r="BA284" s="25"/>
      <c r="BB284" s="25"/>
      <c r="BC284" s="25"/>
      <c r="BD284" s="25"/>
      <c r="BE284" s="25"/>
      <c r="BF284" s="25"/>
      <c r="BG284" s="25"/>
      <c r="BH284" s="25"/>
      <c r="BI284" s="25"/>
      <c r="BJ284" s="25"/>
      <c r="BK284" s="25"/>
      <c r="BL284" s="25"/>
      <c r="BM284" s="25"/>
      <c r="BN284" s="25"/>
      <c r="BO284" s="25"/>
      <c r="BP284" s="25"/>
      <c r="BQ284" s="25"/>
      <c r="BR284" s="25"/>
      <c r="BS284" s="25"/>
      <c r="BT284" s="25"/>
      <c r="BU284" s="25"/>
      <c r="BV284" s="25"/>
      <c r="BW284" s="25"/>
      <c r="BX284" s="25"/>
      <c r="BY284" s="25"/>
      <c r="BZ284" s="25"/>
      <c r="CA284" s="25"/>
      <c r="CB284" s="25"/>
      <c r="CC284" s="25"/>
      <c r="CD284" s="25"/>
      <c r="CE284" s="25"/>
      <c r="CF284" s="25"/>
      <c r="CG284" s="25"/>
      <c r="CH284" s="25"/>
      <c r="CI284" s="25"/>
      <c r="CJ284" s="25"/>
      <c r="CK284" s="25"/>
      <c r="CL284" s="25"/>
      <c r="CM284" s="25"/>
      <c r="CN284" s="25"/>
      <c r="CO284" s="25"/>
      <c r="CP284" s="25"/>
      <c r="CQ284" s="25"/>
      <c r="CR284" s="25"/>
      <c r="CS284" s="25"/>
      <c r="CT284" s="25"/>
      <c r="CU284" s="25"/>
      <c r="CV284" s="25"/>
      <c r="CW284" s="25"/>
      <c r="CX284" s="25"/>
      <c r="CY284" s="25"/>
      <c r="CZ284" s="25"/>
      <c r="DA284" s="25"/>
      <c r="DB284" s="25"/>
      <c r="DC284" s="25"/>
      <c r="DD284" s="25"/>
      <c r="DE284" s="25"/>
      <c r="DF284" s="25"/>
      <c r="DG284" s="25"/>
      <c r="DH284" s="25"/>
      <c r="DI284" s="25"/>
      <c r="DJ284" s="25"/>
      <c r="DK284" s="25"/>
      <c r="DL284" s="25"/>
      <c r="DM284" s="25"/>
      <c r="DN284" s="25"/>
      <c r="DO284" s="25"/>
      <c r="DP284" s="25"/>
      <c r="DQ284" s="25"/>
    </row>
    <row r="285" spans="1:121" s="23" customFormat="1" ht="24.95" customHeight="1" x14ac:dyDescent="0.25">
      <c r="A285" s="898">
        <v>230</v>
      </c>
      <c r="B285" s="727">
        <v>4357</v>
      </c>
      <c r="C285" s="728">
        <v>6121</v>
      </c>
      <c r="D285" s="1234">
        <v>6058</v>
      </c>
      <c r="E285" s="914" t="s">
        <v>296</v>
      </c>
      <c r="F285" s="110"/>
      <c r="G285" s="111">
        <v>400</v>
      </c>
      <c r="H285" s="111">
        <v>2019</v>
      </c>
      <c r="I285" s="112">
        <v>2021</v>
      </c>
      <c r="J285" s="462">
        <f t="shared" si="38"/>
        <v>4000</v>
      </c>
      <c r="K285" s="463">
        <v>0</v>
      </c>
      <c r="L285" s="464">
        <v>0</v>
      </c>
      <c r="M285" s="465">
        <f t="shared" si="40"/>
        <v>0</v>
      </c>
      <c r="N285" s="466">
        <v>0</v>
      </c>
      <c r="O285" s="475">
        <f>2000-2000</f>
        <v>0</v>
      </c>
      <c r="P285" s="467">
        <v>0</v>
      </c>
      <c r="Q285" s="464">
        <v>0</v>
      </c>
      <c r="R285" s="469">
        <f>1000+2000</f>
        <v>3000</v>
      </c>
      <c r="S285" s="467">
        <v>0</v>
      </c>
      <c r="T285" s="464">
        <v>0</v>
      </c>
      <c r="U285" s="469">
        <v>1000</v>
      </c>
      <c r="V285" s="467">
        <v>0</v>
      </c>
      <c r="W285" s="464">
        <v>0</v>
      </c>
      <c r="X285" s="469">
        <v>0</v>
      </c>
      <c r="Y285" s="467">
        <v>0</v>
      </c>
      <c r="Z285" s="468">
        <v>0</v>
      </c>
      <c r="AA285" s="478">
        <v>0</v>
      </c>
      <c r="AB285" s="30"/>
      <c r="AC285" s="30"/>
      <c r="AD285" s="30"/>
      <c r="AE285" s="30"/>
      <c r="AF285" s="1181"/>
      <c r="AG285" s="25"/>
      <c r="AH285" s="25"/>
      <c r="AI285" s="25"/>
      <c r="AJ285" s="25"/>
      <c r="AK285" s="25"/>
      <c r="AL285" s="25"/>
      <c r="AM285" s="25"/>
      <c r="AN285" s="25"/>
      <c r="AO285" s="25"/>
      <c r="AP285" s="25"/>
      <c r="AQ285" s="25"/>
      <c r="AR285" s="25"/>
      <c r="AS285" s="25"/>
      <c r="AT285" s="25"/>
      <c r="AU285" s="25"/>
      <c r="AV285" s="25"/>
      <c r="AW285" s="25"/>
      <c r="AX285" s="25"/>
      <c r="AY285" s="25"/>
      <c r="AZ285" s="25"/>
      <c r="BA285" s="25"/>
      <c r="BB285" s="25"/>
      <c r="BC285" s="25"/>
      <c r="BD285" s="25"/>
      <c r="BE285" s="25"/>
      <c r="BF285" s="25"/>
      <c r="BG285" s="25"/>
      <c r="BH285" s="25"/>
      <c r="BI285" s="25"/>
      <c r="BJ285" s="25"/>
      <c r="BK285" s="25"/>
      <c r="BL285" s="25"/>
      <c r="BM285" s="25"/>
      <c r="BN285" s="25"/>
      <c r="BO285" s="25"/>
      <c r="BP285" s="25"/>
      <c r="BQ285" s="25"/>
      <c r="BR285" s="25"/>
      <c r="BS285" s="25"/>
      <c r="BT285" s="25"/>
      <c r="BU285" s="25"/>
      <c r="BV285" s="25"/>
      <c r="BW285" s="25"/>
      <c r="BX285" s="25"/>
      <c r="BY285" s="25"/>
      <c r="BZ285" s="25"/>
      <c r="CA285" s="25"/>
      <c r="CB285" s="25"/>
      <c r="CC285" s="25"/>
      <c r="CD285" s="25"/>
      <c r="CE285" s="25"/>
      <c r="CF285" s="25"/>
      <c r="CG285" s="25"/>
      <c r="CH285" s="25"/>
      <c r="CI285" s="25"/>
      <c r="CJ285" s="25"/>
      <c r="CK285" s="25"/>
      <c r="CL285" s="25"/>
      <c r="CM285" s="25"/>
      <c r="CN285" s="25"/>
      <c r="CO285" s="25"/>
      <c r="CP285" s="25"/>
      <c r="CQ285" s="25"/>
      <c r="CR285" s="25"/>
      <c r="CS285" s="25"/>
      <c r="CT285" s="25"/>
      <c r="CU285" s="25"/>
      <c r="CV285" s="25"/>
      <c r="CW285" s="25"/>
      <c r="CX285" s="25"/>
      <c r="CY285" s="25"/>
      <c r="CZ285" s="25"/>
      <c r="DA285" s="25"/>
      <c r="DB285" s="25"/>
      <c r="DC285" s="25"/>
      <c r="DD285" s="25"/>
      <c r="DE285" s="25"/>
      <c r="DF285" s="25"/>
      <c r="DG285" s="25"/>
      <c r="DH285" s="25"/>
      <c r="DI285" s="25"/>
      <c r="DJ285" s="25"/>
      <c r="DK285" s="25"/>
      <c r="DL285" s="25"/>
      <c r="DM285" s="25"/>
      <c r="DN285" s="25"/>
      <c r="DO285" s="25"/>
      <c r="DP285" s="25"/>
      <c r="DQ285" s="25"/>
    </row>
    <row r="286" spans="1:121" s="31" customFormat="1" ht="24.95" customHeight="1" x14ac:dyDescent="0.25">
      <c r="A286" s="600">
        <v>230</v>
      </c>
      <c r="B286" s="555">
        <v>4359</v>
      </c>
      <c r="C286" s="490">
        <v>6121</v>
      </c>
      <c r="D286" s="988">
        <v>6046</v>
      </c>
      <c r="E286" s="510" t="s">
        <v>295</v>
      </c>
      <c r="F286" s="439" t="s">
        <v>201</v>
      </c>
      <c r="G286" s="440">
        <v>400</v>
      </c>
      <c r="H286" s="440">
        <v>2016</v>
      </c>
      <c r="I286" s="441">
        <v>2022</v>
      </c>
      <c r="J286" s="442">
        <f t="shared" si="38"/>
        <v>63263</v>
      </c>
      <c r="K286" s="443">
        <v>263</v>
      </c>
      <c r="L286" s="444">
        <v>71</v>
      </c>
      <c r="M286" s="445">
        <f t="shared" si="40"/>
        <v>929</v>
      </c>
      <c r="N286" s="446">
        <f>1000-71</f>
        <v>929</v>
      </c>
      <c r="O286" s="447">
        <v>0</v>
      </c>
      <c r="P286" s="448">
        <v>0</v>
      </c>
      <c r="Q286" s="444">
        <v>0</v>
      </c>
      <c r="R286" s="449">
        <v>0</v>
      </c>
      <c r="S286" s="448">
        <v>2000</v>
      </c>
      <c r="T286" s="444">
        <v>0</v>
      </c>
      <c r="U286" s="449">
        <v>0</v>
      </c>
      <c r="V286" s="448">
        <v>60000</v>
      </c>
      <c r="W286" s="444">
        <v>0</v>
      </c>
      <c r="X286" s="449">
        <v>0</v>
      </c>
      <c r="Y286" s="448">
        <v>0</v>
      </c>
      <c r="Z286" s="492">
        <v>0</v>
      </c>
      <c r="AA286" s="493">
        <v>0</v>
      </c>
      <c r="AB286" s="25"/>
      <c r="AC286" s="25"/>
      <c r="AD286" s="25"/>
      <c r="AE286" s="25"/>
      <c r="AF286" s="25"/>
      <c r="AG286" s="25"/>
      <c r="AH286" s="25"/>
      <c r="AI286" s="25"/>
      <c r="AJ286" s="25"/>
      <c r="AK286" s="25"/>
      <c r="AL286" s="25"/>
      <c r="AM286" s="25"/>
      <c r="AN286" s="25"/>
      <c r="AO286" s="25"/>
      <c r="AP286" s="25"/>
      <c r="AQ286" s="25"/>
      <c r="AR286" s="25"/>
      <c r="AS286" s="25"/>
      <c r="AT286" s="25"/>
      <c r="AU286" s="25"/>
      <c r="AV286" s="25"/>
      <c r="AW286" s="25"/>
      <c r="AX286" s="25"/>
      <c r="AY286" s="25"/>
      <c r="AZ286" s="25"/>
      <c r="BA286" s="25"/>
      <c r="BB286" s="25"/>
      <c r="BC286" s="25"/>
      <c r="BD286" s="25"/>
      <c r="BE286" s="25"/>
      <c r="BF286" s="25"/>
      <c r="BG286" s="25"/>
      <c r="BH286" s="25"/>
      <c r="BI286" s="25"/>
      <c r="BJ286" s="25"/>
      <c r="BK286" s="25"/>
      <c r="BL286" s="25"/>
      <c r="BM286" s="25"/>
      <c r="BN286" s="25"/>
      <c r="BO286" s="25"/>
      <c r="BP286" s="25"/>
      <c r="BQ286" s="25"/>
      <c r="BR286" s="25"/>
      <c r="BS286" s="25"/>
      <c r="BT286" s="25"/>
      <c r="BU286" s="25"/>
      <c r="BV286" s="25"/>
      <c r="BW286" s="25"/>
      <c r="BX286" s="25"/>
      <c r="BY286" s="25"/>
      <c r="BZ286" s="25"/>
      <c r="CA286" s="25"/>
      <c r="CB286" s="25"/>
      <c r="CC286" s="25"/>
      <c r="CD286" s="25"/>
      <c r="CE286" s="25"/>
      <c r="CF286" s="25"/>
      <c r="CG286" s="25"/>
      <c r="CH286" s="25"/>
      <c r="CI286" s="25"/>
      <c r="CJ286" s="25"/>
      <c r="CK286" s="25"/>
      <c r="CL286" s="25"/>
      <c r="CM286" s="25"/>
      <c r="CN286" s="25"/>
      <c r="CO286" s="25"/>
      <c r="CP286" s="25"/>
      <c r="CQ286" s="25"/>
      <c r="CR286" s="25"/>
      <c r="CS286" s="25"/>
      <c r="CT286" s="25"/>
      <c r="CU286" s="25"/>
      <c r="CV286" s="25"/>
      <c r="CW286" s="25"/>
      <c r="CX286" s="25"/>
      <c r="CY286" s="25"/>
      <c r="CZ286" s="25"/>
      <c r="DA286" s="25"/>
      <c r="DB286" s="25"/>
      <c r="DC286" s="25"/>
      <c r="DD286" s="25"/>
      <c r="DE286" s="25"/>
      <c r="DF286" s="25"/>
      <c r="DG286" s="25"/>
      <c r="DH286" s="25"/>
      <c r="DI286" s="25"/>
      <c r="DJ286" s="25"/>
      <c r="DK286" s="25"/>
      <c r="DL286" s="25"/>
      <c r="DM286" s="25"/>
      <c r="DN286" s="25"/>
      <c r="DO286" s="25"/>
      <c r="DP286" s="25"/>
      <c r="DQ286" s="25"/>
    </row>
    <row r="287" spans="1:121" s="31" customFormat="1" ht="24.95" customHeight="1" x14ac:dyDescent="0.25">
      <c r="A287" s="600">
        <v>230</v>
      </c>
      <c r="B287" s="555">
        <v>4374</v>
      </c>
      <c r="C287" s="490">
        <v>6121</v>
      </c>
      <c r="D287" s="1246">
        <v>6052</v>
      </c>
      <c r="E287" s="913" t="s">
        <v>294</v>
      </c>
      <c r="F287" s="439" t="s">
        <v>127</v>
      </c>
      <c r="G287" s="440">
        <v>400</v>
      </c>
      <c r="H287" s="440">
        <v>2017</v>
      </c>
      <c r="I287" s="441">
        <v>2019</v>
      </c>
      <c r="J287" s="442">
        <f t="shared" si="38"/>
        <v>5250</v>
      </c>
      <c r="K287" s="443">
        <v>250</v>
      </c>
      <c r="L287" s="444">
        <v>3000</v>
      </c>
      <c r="M287" s="445">
        <f t="shared" si="40"/>
        <v>2000</v>
      </c>
      <c r="N287" s="446">
        <f>2000-2000</f>
        <v>0</v>
      </c>
      <c r="O287" s="447">
        <v>2000</v>
      </c>
      <c r="P287" s="448">
        <v>0</v>
      </c>
      <c r="Q287" s="444">
        <v>0</v>
      </c>
      <c r="R287" s="449">
        <v>0</v>
      </c>
      <c r="S287" s="448">
        <v>0</v>
      </c>
      <c r="T287" s="444">
        <v>0</v>
      </c>
      <c r="U287" s="449">
        <v>0</v>
      </c>
      <c r="V287" s="448">
        <v>0</v>
      </c>
      <c r="W287" s="444">
        <v>0</v>
      </c>
      <c r="X287" s="449">
        <v>0</v>
      </c>
      <c r="Y287" s="448">
        <v>0</v>
      </c>
      <c r="Z287" s="492">
        <v>0</v>
      </c>
      <c r="AA287" s="493">
        <v>0</v>
      </c>
      <c r="AB287" s="25"/>
      <c r="AC287" s="25"/>
      <c r="AD287" s="25"/>
      <c r="AE287" s="25"/>
      <c r="AF287" s="25"/>
      <c r="AG287" s="25"/>
      <c r="AH287" s="25"/>
      <c r="AI287" s="25"/>
      <c r="AJ287" s="25"/>
      <c r="AK287" s="25"/>
      <c r="AL287" s="25"/>
      <c r="AM287" s="25"/>
      <c r="AN287" s="25"/>
      <c r="AO287" s="25"/>
      <c r="AP287" s="25"/>
      <c r="AQ287" s="25"/>
      <c r="AR287" s="25"/>
      <c r="AS287" s="25"/>
      <c r="AT287" s="25"/>
      <c r="AU287" s="25"/>
      <c r="AV287" s="25"/>
      <c r="AW287" s="25"/>
      <c r="AX287" s="25"/>
      <c r="AY287" s="25"/>
      <c r="AZ287" s="25"/>
      <c r="BA287" s="25"/>
      <c r="BB287" s="25"/>
      <c r="BC287" s="25"/>
      <c r="BD287" s="25"/>
      <c r="BE287" s="25"/>
      <c r="BF287" s="25"/>
      <c r="BG287" s="25"/>
      <c r="BH287" s="25"/>
      <c r="BI287" s="25"/>
      <c r="BJ287" s="25"/>
      <c r="BK287" s="25"/>
      <c r="BL287" s="25"/>
      <c r="BM287" s="25"/>
      <c r="BN287" s="25"/>
      <c r="BO287" s="25"/>
      <c r="BP287" s="25"/>
      <c r="BQ287" s="25"/>
      <c r="BR287" s="25"/>
      <c r="BS287" s="25"/>
      <c r="BT287" s="25"/>
      <c r="BU287" s="25"/>
      <c r="BV287" s="25"/>
      <c r="BW287" s="25"/>
      <c r="BX287" s="25"/>
      <c r="BY287" s="25"/>
      <c r="BZ287" s="25"/>
      <c r="CA287" s="25"/>
      <c r="CB287" s="25"/>
      <c r="CC287" s="25"/>
      <c r="CD287" s="25"/>
      <c r="CE287" s="25"/>
      <c r="CF287" s="25"/>
      <c r="CG287" s="25"/>
      <c r="CH287" s="25"/>
      <c r="CI287" s="25"/>
      <c r="CJ287" s="25"/>
      <c r="CK287" s="25"/>
      <c r="CL287" s="25"/>
      <c r="CM287" s="25"/>
      <c r="CN287" s="25"/>
      <c r="CO287" s="25"/>
      <c r="CP287" s="25"/>
      <c r="CQ287" s="25"/>
      <c r="CR287" s="25"/>
      <c r="CS287" s="25"/>
      <c r="CT287" s="25"/>
      <c r="CU287" s="25"/>
      <c r="CV287" s="25"/>
      <c r="CW287" s="25"/>
      <c r="CX287" s="25"/>
      <c r="CY287" s="25"/>
      <c r="CZ287" s="25"/>
      <c r="DA287" s="25"/>
      <c r="DB287" s="25"/>
      <c r="DC287" s="25"/>
      <c r="DD287" s="25"/>
      <c r="DE287" s="25"/>
      <c r="DF287" s="25"/>
      <c r="DG287" s="25"/>
      <c r="DH287" s="25"/>
      <c r="DI287" s="25"/>
      <c r="DJ287" s="25"/>
      <c r="DK287" s="25"/>
      <c r="DL287" s="25"/>
      <c r="DM287" s="25"/>
      <c r="DN287" s="25"/>
      <c r="DO287" s="25"/>
      <c r="DP287" s="25"/>
      <c r="DQ287" s="25"/>
    </row>
    <row r="288" spans="1:121" s="31" customFormat="1" ht="24.95" customHeight="1" x14ac:dyDescent="0.25">
      <c r="A288" s="600">
        <v>230</v>
      </c>
      <c r="B288" s="555">
        <v>5299</v>
      </c>
      <c r="C288" s="490">
        <v>6121</v>
      </c>
      <c r="D288" s="1249">
        <v>8215</v>
      </c>
      <c r="E288" s="576" t="s">
        <v>293</v>
      </c>
      <c r="F288" s="765" t="s">
        <v>117</v>
      </c>
      <c r="G288" s="440">
        <v>400</v>
      </c>
      <c r="H288" s="440">
        <v>2018</v>
      </c>
      <c r="I288" s="441">
        <v>2022</v>
      </c>
      <c r="J288" s="442">
        <f t="shared" si="38"/>
        <v>107950</v>
      </c>
      <c r="K288" s="443">
        <v>0</v>
      </c>
      <c r="L288" s="444">
        <v>708</v>
      </c>
      <c r="M288" s="445">
        <f t="shared" si="40"/>
        <v>2292</v>
      </c>
      <c r="N288" s="446">
        <v>292</v>
      </c>
      <c r="O288" s="447">
        <f>3000-1000</f>
        <v>2000</v>
      </c>
      <c r="P288" s="448">
        <v>0</v>
      </c>
      <c r="Q288" s="444">
        <v>0</v>
      </c>
      <c r="R288" s="449">
        <v>0</v>
      </c>
      <c r="S288" s="448">
        <v>0</v>
      </c>
      <c r="T288" s="444">
        <v>0</v>
      </c>
      <c r="U288" s="449">
        <v>0</v>
      </c>
      <c r="V288" s="448">
        <v>0</v>
      </c>
      <c r="W288" s="444">
        <v>0</v>
      </c>
      <c r="X288" s="449">
        <v>54950</v>
      </c>
      <c r="Y288" s="448">
        <v>0</v>
      </c>
      <c r="Z288" s="492">
        <v>0</v>
      </c>
      <c r="AA288" s="493">
        <v>50000</v>
      </c>
      <c r="AB288" s="25"/>
      <c r="AC288" s="25"/>
      <c r="AD288" s="25"/>
      <c r="AE288" s="25"/>
      <c r="AF288" s="25"/>
      <c r="AG288" s="25"/>
      <c r="AH288" s="25"/>
      <c r="AI288" s="25"/>
      <c r="AJ288" s="25"/>
      <c r="AK288" s="25"/>
      <c r="AL288" s="25"/>
      <c r="AM288" s="25"/>
      <c r="AN288" s="25"/>
      <c r="AO288" s="25"/>
      <c r="AP288" s="25"/>
      <c r="AQ288" s="25"/>
      <c r="AR288" s="25"/>
      <c r="AS288" s="25"/>
      <c r="AT288" s="25"/>
      <c r="AU288" s="25"/>
      <c r="AV288" s="25"/>
      <c r="AW288" s="25"/>
      <c r="AX288" s="25"/>
      <c r="AY288" s="25"/>
      <c r="AZ288" s="25"/>
      <c r="BA288" s="25"/>
      <c r="BB288" s="25"/>
      <c r="BC288" s="25"/>
      <c r="BD288" s="25"/>
      <c r="BE288" s="25"/>
      <c r="BF288" s="25"/>
      <c r="BG288" s="25"/>
      <c r="BH288" s="25"/>
      <c r="BI288" s="25"/>
      <c r="BJ288" s="25"/>
      <c r="BK288" s="25"/>
      <c r="BL288" s="25"/>
      <c r="BM288" s="25"/>
      <c r="BN288" s="25"/>
      <c r="BO288" s="25"/>
      <c r="BP288" s="25"/>
      <c r="BQ288" s="25"/>
      <c r="BR288" s="25"/>
      <c r="BS288" s="25"/>
      <c r="BT288" s="25"/>
      <c r="BU288" s="25"/>
      <c r="BV288" s="25"/>
      <c r="BW288" s="25"/>
      <c r="BX288" s="25"/>
      <c r="BY288" s="25"/>
      <c r="BZ288" s="25"/>
      <c r="CA288" s="25"/>
      <c r="CB288" s="25"/>
      <c r="CC288" s="25"/>
      <c r="CD288" s="25"/>
      <c r="CE288" s="25"/>
      <c r="CF288" s="25"/>
      <c r="CG288" s="25"/>
      <c r="CH288" s="25"/>
      <c r="CI288" s="25"/>
      <c r="CJ288" s="25"/>
      <c r="CK288" s="25"/>
      <c r="CL288" s="25"/>
      <c r="CM288" s="25"/>
      <c r="CN288" s="25"/>
      <c r="CO288" s="25"/>
      <c r="CP288" s="25"/>
      <c r="CQ288" s="25"/>
      <c r="CR288" s="25"/>
      <c r="CS288" s="25"/>
      <c r="CT288" s="25"/>
      <c r="CU288" s="25"/>
      <c r="CV288" s="25"/>
      <c r="CW288" s="25"/>
      <c r="CX288" s="25"/>
      <c r="CY288" s="25"/>
      <c r="CZ288" s="25"/>
      <c r="DA288" s="25"/>
      <c r="DB288" s="25"/>
      <c r="DC288" s="25"/>
      <c r="DD288" s="25"/>
      <c r="DE288" s="25"/>
      <c r="DF288" s="25"/>
      <c r="DG288" s="25"/>
      <c r="DH288" s="25"/>
      <c r="DI288" s="25"/>
      <c r="DJ288" s="25"/>
      <c r="DK288" s="25"/>
      <c r="DL288" s="25"/>
      <c r="DM288" s="25"/>
      <c r="DN288" s="25"/>
      <c r="DO288" s="25"/>
      <c r="DP288" s="25"/>
      <c r="DQ288" s="25"/>
    </row>
    <row r="289" spans="1:121" s="31" customFormat="1" ht="24.95" customHeight="1" x14ac:dyDescent="0.25">
      <c r="A289" s="600">
        <v>230</v>
      </c>
      <c r="B289" s="907">
        <v>5522</v>
      </c>
      <c r="C289" s="906">
        <v>6121</v>
      </c>
      <c r="D289" s="1243">
        <v>8120</v>
      </c>
      <c r="E289" s="912" t="s">
        <v>292</v>
      </c>
      <c r="F289" s="765" t="s">
        <v>123</v>
      </c>
      <c r="G289" s="440">
        <v>400</v>
      </c>
      <c r="H289" s="440">
        <v>2010</v>
      </c>
      <c r="I289" s="766">
        <v>2021</v>
      </c>
      <c r="J289" s="442">
        <f t="shared" si="38"/>
        <v>234210</v>
      </c>
      <c r="K289" s="443">
        <f>6381+105</f>
        <v>6486</v>
      </c>
      <c r="L289" s="444">
        <v>261</v>
      </c>
      <c r="M289" s="748">
        <f t="shared" si="40"/>
        <v>9134</v>
      </c>
      <c r="N289" s="446">
        <v>8134</v>
      </c>
      <c r="O289" s="447">
        <f>5000-4000</f>
        <v>1000</v>
      </c>
      <c r="P289" s="448">
        <v>0</v>
      </c>
      <c r="Q289" s="444">
        <v>0</v>
      </c>
      <c r="R289" s="449">
        <f>80000-30000</f>
        <v>50000</v>
      </c>
      <c r="S289" s="448">
        <v>30000</v>
      </c>
      <c r="T289" s="444">
        <v>0</v>
      </c>
      <c r="U289" s="449">
        <f>24986+30000</f>
        <v>54986</v>
      </c>
      <c r="V289" s="448">
        <v>83343</v>
      </c>
      <c r="W289" s="444">
        <v>0</v>
      </c>
      <c r="X289" s="449">
        <v>0</v>
      </c>
      <c r="Y289" s="448">
        <v>0</v>
      </c>
      <c r="Z289" s="492">
        <v>0</v>
      </c>
      <c r="AA289" s="493">
        <v>0</v>
      </c>
      <c r="AB289" s="25"/>
      <c r="AC289" s="25"/>
      <c r="AD289" s="25"/>
      <c r="AE289" s="25"/>
      <c r="AF289" s="25"/>
      <c r="AG289" s="25"/>
      <c r="AH289" s="25"/>
      <c r="AI289" s="25"/>
      <c r="AJ289" s="25"/>
      <c r="AK289" s="25"/>
      <c r="AL289" s="25"/>
      <c r="AM289" s="25"/>
      <c r="AN289" s="25"/>
      <c r="AO289" s="25"/>
      <c r="AP289" s="25"/>
      <c r="AQ289" s="25"/>
      <c r="AR289" s="25"/>
      <c r="AS289" s="25"/>
      <c r="AT289" s="25"/>
      <c r="AU289" s="25"/>
      <c r="AV289" s="25"/>
      <c r="AW289" s="25"/>
      <c r="AX289" s="25"/>
      <c r="AY289" s="25"/>
      <c r="AZ289" s="25"/>
      <c r="BA289" s="25"/>
      <c r="BB289" s="25"/>
      <c r="BC289" s="25"/>
      <c r="BD289" s="25"/>
      <c r="BE289" s="25"/>
      <c r="BF289" s="25"/>
      <c r="BG289" s="25"/>
      <c r="BH289" s="25"/>
      <c r="BI289" s="25"/>
      <c r="BJ289" s="25"/>
      <c r="BK289" s="25"/>
      <c r="BL289" s="25"/>
      <c r="BM289" s="25"/>
      <c r="BN289" s="25"/>
      <c r="BO289" s="25"/>
      <c r="BP289" s="25"/>
      <c r="BQ289" s="25"/>
      <c r="BR289" s="25"/>
      <c r="BS289" s="25"/>
      <c r="BT289" s="25"/>
      <c r="BU289" s="25"/>
      <c r="BV289" s="25"/>
      <c r="BW289" s="25"/>
      <c r="BX289" s="25"/>
      <c r="BY289" s="25"/>
      <c r="BZ289" s="25"/>
      <c r="CA289" s="25"/>
      <c r="CB289" s="25"/>
      <c r="CC289" s="25"/>
      <c r="CD289" s="25"/>
      <c r="CE289" s="25"/>
      <c r="CF289" s="25"/>
      <c r="CG289" s="25"/>
      <c r="CH289" s="25"/>
      <c r="CI289" s="25"/>
      <c r="CJ289" s="25"/>
      <c r="CK289" s="25"/>
      <c r="CL289" s="25"/>
      <c r="CM289" s="25"/>
      <c r="CN289" s="25"/>
      <c r="CO289" s="25"/>
      <c r="CP289" s="25"/>
      <c r="CQ289" s="25"/>
      <c r="CR289" s="25"/>
      <c r="CS289" s="25"/>
      <c r="CT289" s="25"/>
      <c r="CU289" s="25"/>
      <c r="CV289" s="25"/>
      <c r="CW289" s="25"/>
      <c r="CX289" s="25"/>
      <c r="CY289" s="25"/>
      <c r="CZ289" s="25"/>
      <c r="DA289" s="25"/>
      <c r="DB289" s="25"/>
      <c r="DC289" s="25"/>
      <c r="DD289" s="25"/>
      <c r="DE289" s="25"/>
      <c r="DF289" s="25"/>
      <c r="DG289" s="25"/>
      <c r="DH289" s="25"/>
      <c r="DI289" s="25"/>
      <c r="DJ289" s="25"/>
      <c r="DK289" s="25"/>
      <c r="DL289" s="25"/>
      <c r="DM289" s="25"/>
      <c r="DN289" s="25"/>
      <c r="DO289" s="25"/>
      <c r="DP289" s="25"/>
      <c r="DQ289" s="25"/>
    </row>
    <row r="290" spans="1:121" s="23" customFormat="1" ht="24.95" customHeight="1" x14ac:dyDescent="0.25">
      <c r="A290" s="898">
        <v>230</v>
      </c>
      <c r="B290" s="666">
        <v>5522</v>
      </c>
      <c r="C290" s="667">
        <v>6121</v>
      </c>
      <c r="D290" s="1231">
        <v>8144</v>
      </c>
      <c r="E290" s="1218" t="s">
        <v>291</v>
      </c>
      <c r="F290" s="383" t="s">
        <v>123</v>
      </c>
      <c r="G290" s="111">
        <v>400</v>
      </c>
      <c r="H290" s="111">
        <v>2010</v>
      </c>
      <c r="I290" s="557">
        <v>2023</v>
      </c>
      <c r="J290" s="462">
        <f t="shared" si="38"/>
        <v>71830</v>
      </c>
      <c r="K290" s="463">
        <f>690+80</f>
        <v>770</v>
      </c>
      <c r="L290" s="464">
        <v>60</v>
      </c>
      <c r="M290" s="465">
        <f t="shared" si="40"/>
        <v>0</v>
      </c>
      <c r="N290" s="466">
        <v>0</v>
      </c>
      <c r="O290" s="475">
        <v>0</v>
      </c>
      <c r="P290" s="467">
        <v>0</v>
      </c>
      <c r="Q290" s="464">
        <v>0</v>
      </c>
      <c r="R290" s="469">
        <v>500</v>
      </c>
      <c r="S290" s="467">
        <v>0</v>
      </c>
      <c r="T290" s="464">
        <v>0</v>
      </c>
      <c r="U290" s="469">
        <v>0</v>
      </c>
      <c r="V290" s="467">
        <v>0</v>
      </c>
      <c r="W290" s="464">
        <v>0</v>
      </c>
      <c r="X290" s="469">
        <v>10500</v>
      </c>
      <c r="Y290" s="467">
        <v>0</v>
      </c>
      <c r="Z290" s="468">
        <v>0</v>
      </c>
      <c r="AA290" s="478">
        <v>60000</v>
      </c>
      <c r="AB290" s="25"/>
      <c r="AC290" s="25"/>
      <c r="AD290" s="25"/>
      <c r="AE290" s="25"/>
      <c r="AF290" s="25"/>
      <c r="AG290" s="25"/>
      <c r="AH290" s="25"/>
      <c r="AI290" s="25"/>
      <c r="AJ290" s="25"/>
      <c r="AK290" s="25"/>
      <c r="AL290" s="25"/>
      <c r="AM290" s="25"/>
      <c r="AN290" s="25"/>
      <c r="AO290" s="25"/>
      <c r="AP290" s="25"/>
      <c r="AQ290" s="25"/>
      <c r="AR290" s="25"/>
      <c r="AS290" s="25"/>
      <c r="AT290" s="25"/>
      <c r="AU290" s="25"/>
      <c r="AV290" s="25"/>
      <c r="AW290" s="25"/>
      <c r="AX290" s="25"/>
      <c r="AY290" s="25"/>
      <c r="AZ290" s="25"/>
      <c r="BA290" s="25"/>
      <c r="BB290" s="25"/>
      <c r="BC290" s="25"/>
      <c r="BD290" s="25"/>
      <c r="BE290" s="25"/>
      <c r="BF290" s="25"/>
      <c r="BG290" s="25"/>
      <c r="BH290" s="25"/>
      <c r="BI290" s="25"/>
      <c r="BJ290" s="25"/>
      <c r="BK290" s="25"/>
      <c r="BL290" s="25"/>
      <c r="BM290" s="25"/>
      <c r="BN290" s="25"/>
      <c r="BO290" s="25"/>
      <c r="BP290" s="25"/>
      <c r="BQ290" s="25"/>
      <c r="BR290" s="25"/>
      <c r="BS290" s="25"/>
      <c r="BT290" s="25"/>
      <c r="BU290" s="25"/>
      <c r="BV290" s="25"/>
      <c r="BW290" s="25"/>
      <c r="BX290" s="25"/>
      <c r="BY290" s="25"/>
      <c r="BZ290" s="25"/>
      <c r="CA290" s="25"/>
      <c r="CB290" s="25"/>
      <c r="CC290" s="25"/>
      <c r="CD290" s="25"/>
      <c r="CE290" s="25"/>
      <c r="CF290" s="25"/>
      <c r="CG290" s="25"/>
      <c r="CH290" s="25"/>
      <c r="CI290" s="25"/>
      <c r="CJ290" s="25"/>
      <c r="CK290" s="25"/>
      <c r="CL290" s="25"/>
      <c r="CM290" s="25"/>
      <c r="CN290" s="25"/>
      <c r="CO290" s="25"/>
      <c r="CP290" s="25"/>
      <c r="CQ290" s="25"/>
      <c r="CR290" s="25"/>
      <c r="CS290" s="25"/>
      <c r="CT290" s="25"/>
      <c r="CU290" s="25"/>
      <c r="CV290" s="25"/>
      <c r="CW290" s="25"/>
      <c r="CX290" s="25"/>
      <c r="CY290" s="25"/>
      <c r="CZ290" s="25"/>
      <c r="DA290" s="25"/>
      <c r="DB290" s="25"/>
      <c r="DC290" s="25"/>
      <c r="DD290" s="25"/>
      <c r="DE290" s="25"/>
      <c r="DF290" s="25"/>
      <c r="DG290" s="25"/>
      <c r="DH290" s="25"/>
      <c r="DI290" s="25"/>
      <c r="DJ290" s="25"/>
      <c r="DK290" s="25"/>
      <c r="DL290" s="25"/>
      <c r="DM290" s="25"/>
      <c r="DN290" s="25"/>
      <c r="DO290" s="25"/>
      <c r="DP290" s="25"/>
      <c r="DQ290" s="25"/>
    </row>
    <row r="291" spans="1:121" s="23" customFormat="1" ht="24.95" customHeight="1" x14ac:dyDescent="0.25">
      <c r="A291" s="898">
        <v>230</v>
      </c>
      <c r="B291" s="666">
        <v>5522</v>
      </c>
      <c r="C291" s="667">
        <v>6121</v>
      </c>
      <c r="D291" s="1231">
        <v>8177</v>
      </c>
      <c r="E291" s="1256" t="s">
        <v>290</v>
      </c>
      <c r="F291" s="383" t="s">
        <v>123</v>
      </c>
      <c r="G291" s="111">
        <v>400</v>
      </c>
      <c r="H291" s="111">
        <v>2010</v>
      </c>
      <c r="I291" s="557">
        <v>2022</v>
      </c>
      <c r="J291" s="462">
        <f t="shared" ref="J291:J305" si="41">K291+L291+M291+SUM(R291:AA291)</f>
        <v>12862</v>
      </c>
      <c r="K291" s="463">
        <v>302</v>
      </c>
      <c r="L291" s="464">
        <v>60</v>
      </c>
      <c r="M291" s="465">
        <f t="shared" si="40"/>
        <v>0</v>
      </c>
      <c r="N291" s="466">
        <v>0</v>
      </c>
      <c r="O291" s="475">
        <v>0</v>
      </c>
      <c r="P291" s="467">
        <v>0</v>
      </c>
      <c r="Q291" s="464">
        <v>0</v>
      </c>
      <c r="R291" s="469">
        <v>500</v>
      </c>
      <c r="S291" s="467">
        <v>0</v>
      </c>
      <c r="T291" s="464">
        <v>0</v>
      </c>
      <c r="U291" s="469">
        <v>2000</v>
      </c>
      <c r="V291" s="467">
        <v>0</v>
      </c>
      <c r="W291" s="464">
        <v>0</v>
      </c>
      <c r="X291" s="469">
        <v>10000</v>
      </c>
      <c r="Y291" s="467">
        <v>0</v>
      </c>
      <c r="Z291" s="468">
        <v>0</v>
      </c>
      <c r="AA291" s="478">
        <v>0</v>
      </c>
      <c r="AB291" s="25"/>
      <c r="AC291" s="25"/>
      <c r="AD291" s="25"/>
      <c r="AE291" s="25"/>
      <c r="AF291" s="25"/>
      <c r="AG291" s="25"/>
      <c r="AH291" s="25"/>
      <c r="AI291" s="25"/>
      <c r="AJ291" s="25"/>
      <c r="AK291" s="25"/>
      <c r="AL291" s="25"/>
      <c r="AM291" s="25"/>
      <c r="AN291" s="25"/>
      <c r="AO291" s="25"/>
      <c r="AP291" s="25"/>
      <c r="AQ291" s="25"/>
      <c r="AR291" s="25"/>
      <c r="AS291" s="25"/>
      <c r="AT291" s="25"/>
      <c r="AU291" s="25"/>
      <c r="AV291" s="25"/>
      <c r="AW291" s="25"/>
      <c r="AX291" s="25"/>
      <c r="AY291" s="25"/>
      <c r="AZ291" s="25"/>
      <c r="BA291" s="25"/>
      <c r="BB291" s="25"/>
      <c r="BC291" s="25"/>
      <c r="BD291" s="25"/>
      <c r="BE291" s="25"/>
      <c r="BF291" s="25"/>
      <c r="BG291" s="25"/>
      <c r="BH291" s="25"/>
      <c r="BI291" s="25"/>
      <c r="BJ291" s="25"/>
      <c r="BK291" s="25"/>
      <c r="BL291" s="25"/>
      <c r="BM291" s="25"/>
      <c r="BN291" s="25"/>
      <c r="BO291" s="25"/>
      <c r="BP291" s="25"/>
      <c r="BQ291" s="25"/>
      <c r="BR291" s="25"/>
      <c r="BS291" s="25"/>
      <c r="BT291" s="25"/>
      <c r="BU291" s="25"/>
      <c r="BV291" s="25"/>
      <c r="BW291" s="25"/>
      <c r="BX291" s="25"/>
      <c r="BY291" s="25"/>
      <c r="BZ291" s="25"/>
      <c r="CA291" s="25"/>
      <c r="CB291" s="25"/>
      <c r="CC291" s="25"/>
      <c r="CD291" s="25"/>
      <c r="CE291" s="25"/>
      <c r="CF291" s="25"/>
      <c r="CG291" s="25"/>
      <c r="CH291" s="25"/>
      <c r="CI291" s="25"/>
      <c r="CJ291" s="25"/>
      <c r="CK291" s="25"/>
      <c r="CL291" s="25"/>
      <c r="CM291" s="25"/>
      <c r="CN291" s="25"/>
      <c r="CO291" s="25"/>
      <c r="CP291" s="25"/>
      <c r="CQ291" s="25"/>
      <c r="CR291" s="25"/>
      <c r="CS291" s="25"/>
      <c r="CT291" s="25"/>
      <c r="CU291" s="25"/>
      <c r="CV291" s="25"/>
      <c r="CW291" s="25"/>
      <c r="CX291" s="25"/>
      <c r="CY291" s="25"/>
      <c r="CZ291" s="25"/>
      <c r="DA291" s="25"/>
      <c r="DB291" s="25"/>
      <c r="DC291" s="25"/>
      <c r="DD291" s="25"/>
      <c r="DE291" s="25"/>
      <c r="DF291" s="25"/>
      <c r="DG291" s="25"/>
      <c r="DH291" s="25"/>
      <c r="DI291" s="25"/>
      <c r="DJ291" s="25"/>
      <c r="DK291" s="25"/>
      <c r="DL291" s="25"/>
      <c r="DM291" s="25"/>
      <c r="DN291" s="25"/>
      <c r="DO291" s="25"/>
      <c r="DP291" s="25"/>
      <c r="DQ291" s="25"/>
    </row>
    <row r="292" spans="1:121" s="23" customFormat="1" ht="24.95" customHeight="1" x14ac:dyDescent="0.25">
      <c r="A292" s="898">
        <v>230</v>
      </c>
      <c r="B292" s="666">
        <v>5522</v>
      </c>
      <c r="C292" s="667">
        <v>6121</v>
      </c>
      <c r="D292" s="1230">
        <v>8185</v>
      </c>
      <c r="E292" s="911" t="s">
        <v>289</v>
      </c>
      <c r="F292" s="383" t="s">
        <v>288</v>
      </c>
      <c r="G292" s="111">
        <v>400</v>
      </c>
      <c r="H292" s="111">
        <v>2017</v>
      </c>
      <c r="I292" s="557">
        <v>2019</v>
      </c>
      <c r="J292" s="462">
        <f t="shared" si="41"/>
        <v>23350</v>
      </c>
      <c r="K292" s="463">
        <v>0</v>
      </c>
      <c r="L292" s="464">
        <v>6179</v>
      </c>
      <c r="M292" s="465">
        <f t="shared" si="40"/>
        <v>17171</v>
      </c>
      <c r="N292" s="466">
        <v>5421</v>
      </c>
      <c r="O292" s="475">
        <v>7675</v>
      </c>
      <c r="P292" s="467">
        <v>0</v>
      </c>
      <c r="Q292" s="464">
        <v>4075</v>
      </c>
      <c r="R292" s="469">
        <v>0</v>
      </c>
      <c r="S292" s="467">
        <v>0</v>
      </c>
      <c r="T292" s="464">
        <v>0</v>
      </c>
      <c r="U292" s="469">
        <v>0</v>
      </c>
      <c r="V292" s="467">
        <v>0</v>
      </c>
      <c r="W292" s="464">
        <v>0</v>
      </c>
      <c r="X292" s="469">
        <v>0</v>
      </c>
      <c r="Y292" s="467">
        <v>0</v>
      </c>
      <c r="Z292" s="468">
        <v>0</v>
      </c>
      <c r="AA292" s="478">
        <v>0</v>
      </c>
      <c r="AB292" s="25"/>
      <c r="AC292" s="25"/>
      <c r="AD292" s="25"/>
      <c r="AE292" s="25"/>
      <c r="AF292" s="25"/>
      <c r="AG292" s="25"/>
      <c r="AH292" s="25"/>
      <c r="AI292" s="25"/>
      <c r="AJ292" s="25"/>
      <c r="AK292" s="25"/>
      <c r="AL292" s="25"/>
      <c r="AM292" s="25"/>
      <c r="AN292" s="25"/>
      <c r="AO292" s="25"/>
      <c r="AP292" s="25"/>
      <c r="AQ292" s="25"/>
      <c r="AR292" s="25"/>
      <c r="AS292" s="25"/>
      <c r="AT292" s="25"/>
      <c r="AU292" s="25"/>
      <c r="AV292" s="25"/>
      <c r="AW292" s="25"/>
      <c r="AX292" s="25"/>
      <c r="AY292" s="25"/>
      <c r="AZ292" s="25"/>
      <c r="BA292" s="25"/>
      <c r="BB292" s="25"/>
      <c r="BC292" s="25"/>
      <c r="BD292" s="25"/>
      <c r="BE292" s="25"/>
      <c r="BF292" s="25"/>
      <c r="BG292" s="25"/>
      <c r="BH292" s="25"/>
      <c r="BI292" s="25"/>
      <c r="BJ292" s="25"/>
      <c r="BK292" s="25"/>
      <c r="BL292" s="25"/>
      <c r="BM292" s="25"/>
      <c r="BN292" s="25"/>
      <c r="BO292" s="25"/>
      <c r="BP292" s="25"/>
      <c r="BQ292" s="25"/>
      <c r="BR292" s="25"/>
      <c r="BS292" s="25"/>
      <c r="BT292" s="25"/>
      <c r="BU292" s="25"/>
      <c r="BV292" s="25"/>
      <c r="BW292" s="25"/>
      <c r="BX292" s="25"/>
      <c r="BY292" s="25"/>
      <c r="BZ292" s="25"/>
      <c r="CA292" s="25"/>
      <c r="CB292" s="25"/>
      <c r="CC292" s="25"/>
      <c r="CD292" s="25"/>
      <c r="CE292" s="25"/>
      <c r="CF292" s="25"/>
      <c r="CG292" s="25"/>
      <c r="CH292" s="25"/>
      <c r="CI292" s="25"/>
      <c r="CJ292" s="25"/>
      <c r="CK292" s="25"/>
      <c r="CL292" s="25"/>
      <c r="CM292" s="25"/>
      <c r="CN292" s="25"/>
      <c r="CO292" s="25"/>
      <c r="CP292" s="25"/>
      <c r="CQ292" s="25"/>
      <c r="CR292" s="25"/>
      <c r="CS292" s="25"/>
      <c r="CT292" s="25"/>
      <c r="CU292" s="25"/>
      <c r="CV292" s="25"/>
      <c r="CW292" s="25"/>
      <c r="CX292" s="25"/>
      <c r="CY292" s="25"/>
      <c r="CZ292" s="25"/>
      <c r="DA292" s="25"/>
      <c r="DB292" s="25"/>
      <c r="DC292" s="25"/>
      <c r="DD292" s="25"/>
      <c r="DE292" s="25"/>
      <c r="DF292" s="25"/>
      <c r="DG292" s="25"/>
      <c r="DH292" s="25"/>
      <c r="DI292" s="25"/>
      <c r="DJ292" s="25"/>
      <c r="DK292" s="25"/>
      <c r="DL292" s="25"/>
      <c r="DM292" s="25"/>
      <c r="DN292" s="25"/>
      <c r="DO292" s="25"/>
      <c r="DP292" s="25"/>
      <c r="DQ292" s="25"/>
    </row>
    <row r="293" spans="1:121" s="23" customFormat="1" ht="24.95" customHeight="1" x14ac:dyDescent="0.25">
      <c r="A293" s="600">
        <v>230</v>
      </c>
      <c r="B293" s="555">
        <v>5522</v>
      </c>
      <c r="C293" s="490">
        <v>6121</v>
      </c>
      <c r="D293" s="988">
        <v>8201</v>
      </c>
      <c r="E293" s="910" t="s">
        <v>287</v>
      </c>
      <c r="F293" s="765" t="s">
        <v>123</v>
      </c>
      <c r="G293" s="440">
        <v>400</v>
      </c>
      <c r="H293" s="909">
        <v>2016</v>
      </c>
      <c r="I293" s="908">
        <v>2022</v>
      </c>
      <c r="J293" s="442">
        <f t="shared" si="41"/>
        <v>191970</v>
      </c>
      <c r="K293" s="443">
        <v>2741</v>
      </c>
      <c r="L293" s="444">
        <v>0</v>
      </c>
      <c r="M293" s="445">
        <f t="shared" si="40"/>
        <v>3229</v>
      </c>
      <c r="N293" s="446">
        <v>3229</v>
      </c>
      <c r="O293" s="447">
        <v>0</v>
      </c>
      <c r="P293" s="448">
        <v>0</v>
      </c>
      <c r="Q293" s="444">
        <v>0</v>
      </c>
      <c r="R293" s="449">
        <v>6000</v>
      </c>
      <c r="S293" s="448">
        <v>0</v>
      </c>
      <c r="T293" s="444">
        <v>0</v>
      </c>
      <c r="U293" s="449">
        <v>0</v>
      </c>
      <c r="V293" s="448">
        <v>0</v>
      </c>
      <c r="W293" s="444">
        <v>80000</v>
      </c>
      <c r="X293" s="449">
        <v>0</v>
      </c>
      <c r="Y293" s="448">
        <v>0</v>
      </c>
      <c r="Z293" s="492">
        <v>100000</v>
      </c>
      <c r="AA293" s="493">
        <v>0</v>
      </c>
      <c r="AB293" s="25"/>
      <c r="AC293" s="25"/>
      <c r="AD293" s="25"/>
      <c r="AE293" s="25"/>
      <c r="AF293" s="25"/>
      <c r="AG293" s="25"/>
      <c r="AH293" s="25"/>
      <c r="AI293" s="25"/>
      <c r="AJ293" s="25"/>
      <c r="AK293" s="25"/>
      <c r="AL293" s="25"/>
      <c r="AM293" s="25"/>
      <c r="AN293" s="25"/>
      <c r="AO293" s="25"/>
      <c r="AP293" s="25"/>
      <c r="AQ293" s="25"/>
      <c r="AR293" s="25"/>
      <c r="AS293" s="25"/>
      <c r="AT293" s="25"/>
      <c r="AU293" s="25"/>
      <c r="AV293" s="25"/>
      <c r="AW293" s="25"/>
      <c r="AX293" s="25"/>
      <c r="AY293" s="25"/>
      <c r="AZ293" s="25"/>
      <c r="BA293" s="25"/>
      <c r="BB293" s="25"/>
      <c r="BC293" s="25"/>
      <c r="BD293" s="25"/>
      <c r="BE293" s="25"/>
      <c r="BF293" s="25"/>
      <c r="BG293" s="25"/>
      <c r="BH293" s="25"/>
      <c r="BI293" s="25"/>
      <c r="BJ293" s="25"/>
      <c r="BK293" s="25"/>
      <c r="BL293" s="25"/>
      <c r="BM293" s="25"/>
      <c r="BN293" s="25"/>
      <c r="BO293" s="25"/>
      <c r="BP293" s="25"/>
      <c r="BQ293" s="25"/>
      <c r="BR293" s="25"/>
      <c r="BS293" s="25"/>
      <c r="BT293" s="25"/>
      <c r="BU293" s="25"/>
      <c r="BV293" s="25"/>
      <c r="BW293" s="25"/>
      <c r="BX293" s="25"/>
      <c r="BY293" s="25"/>
      <c r="BZ293" s="25"/>
      <c r="CA293" s="25"/>
      <c r="CB293" s="25"/>
      <c r="CC293" s="25"/>
      <c r="CD293" s="25"/>
      <c r="CE293" s="25"/>
      <c r="CF293" s="25"/>
      <c r="CG293" s="25"/>
      <c r="CH293" s="25"/>
      <c r="CI293" s="25"/>
      <c r="CJ293" s="25"/>
      <c r="CK293" s="25"/>
      <c r="CL293" s="25"/>
      <c r="CM293" s="25"/>
      <c r="CN293" s="25"/>
      <c r="CO293" s="25"/>
      <c r="CP293" s="25"/>
      <c r="CQ293" s="25"/>
      <c r="CR293" s="25"/>
      <c r="CS293" s="25"/>
      <c r="CT293" s="25"/>
      <c r="CU293" s="25"/>
      <c r="CV293" s="25"/>
      <c r="CW293" s="25"/>
      <c r="CX293" s="25"/>
      <c r="CY293" s="25"/>
      <c r="CZ293" s="25"/>
      <c r="DA293" s="25"/>
      <c r="DB293" s="25"/>
      <c r="DC293" s="25"/>
      <c r="DD293" s="25"/>
      <c r="DE293" s="25"/>
      <c r="DF293" s="25"/>
      <c r="DG293" s="25"/>
      <c r="DH293" s="25"/>
      <c r="DI293" s="25"/>
      <c r="DJ293" s="25"/>
      <c r="DK293" s="25"/>
      <c r="DL293" s="25"/>
      <c r="DM293" s="25"/>
      <c r="DN293" s="25"/>
      <c r="DO293" s="25"/>
      <c r="DP293" s="25"/>
      <c r="DQ293" s="25"/>
    </row>
    <row r="294" spans="1:121" s="31" customFormat="1" ht="24.95" customHeight="1" x14ac:dyDescent="0.25">
      <c r="A294" s="600">
        <v>230</v>
      </c>
      <c r="B294" s="907">
        <v>6171</v>
      </c>
      <c r="C294" s="906">
        <v>6121</v>
      </c>
      <c r="D294" s="1257">
        <v>8099</v>
      </c>
      <c r="E294" s="904" t="s">
        <v>286</v>
      </c>
      <c r="F294" s="439" t="s">
        <v>127</v>
      </c>
      <c r="G294" s="440">
        <v>400</v>
      </c>
      <c r="H294" s="440">
        <v>2006</v>
      </c>
      <c r="I294" s="441">
        <v>2019</v>
      </c>
      <c r="J294" s="442">
        <f t="shared" si="41"/>
        <v>68954</v>
      </c>
      <c r="K294" s="443">
        <v>50724</v>
      </c>
      <c r="L294" s="444">
        <v>9500</v>
      </c>
      <c r="M294" s="445">
        <f t="shared" si="40"/>
        <v>8730</v>
      </c>
      <c r="N294" s="446">
        <f>5400+3330</f>
        <v>8730</v>
      </c>
      <c r="O294" s="447">
        <v>0</v>
      </c>
      <c r="P294" s="448">
        <v>0</v>
      </c>
      <c r="Q294" s="444">
        <v>0</v>
      </c>
      <c r="R294" s="449">
        <v>0</v>
      </c>
      <c r="S294" s="448">
        <v>0</v>
      </c>
      <c r="T294" s="444">
        <v>0</v>
      </c>
      <c r="U294" s="449">
        <v>0</v>
      </c>
      <c r="V294" s="448">
        <v>0</v>
      </c>
      <c r="W294" s="444">
        <v>0</v>
      </c>
      <c r="X294" s="449">
        <v>0</v>
      </c>
      <c r="Y294" s="448">
        <v>0</v>
      </c>
      <c r="Z294" s="492">
        <v>0</v>
      </c>
      <c r="AA294" s="493">
        <v>0</v>
      </c>
      <c r="AB294" s="30"/>
      <c r="AC294" s="30"/>
      <c r="AD294" s="30"/>
      <c r="AE294" s="30"/>
      <c r="AF294" s="32"/>
      <c r="AG294" s="25"/>
      <c r="AH294" s="25"/>
      <c r="AI294" s="25"/>
      <c r="AJ294" s="25"/>
      <c r="AK294" s="25"/>
      <c r="AL294" s="25"/>
      <c r="AM294" s="25"/>
      <c r="AN294" s="25"/>
      <c r="AO294" s="25"/>
      <c r="AP294" s="25"/>
      <c r="AQ294" s="25"/>
      <c r="AR294" s="25"/>
      <c r="AS294" s="25"/>
      <c r="AT294" s="25"/>
      <c r="AU294" s="25"/>
      <c r="AV294" s="25"/>
      <c r="AW294" s="25"/>
      <c r="AX294" s="25"/>
      <c r="AY294" s="25"/>
      <c r="AZ294" s="25"/>
      <c r="BA294" s="25"/>
      <c r="BB294" s="25"/>
      <c r="BC294" s="25"/>
      <c r="BD294" s="25"/>
      <c r="BE294" s="25"/>
      <c r="BF294" s="25"/>
      <c r="BG294" s="25"/>
      <c r="BH294" s="25"/>
      <c r="BI294" s="25"/>
      <c r="BJ294" s="25"/>
      <c r="BK294" s="25"/>
      <c r="BL294" s="25"/>
      <c r="BM294" s="25"/>
      <c r="BN294" s="25"/>
      <c r="BO294" s="25"/>
      <c r="BP294" s="25"/>
      <c r="BQ294" s="25"/>
      <c r="BR294" s="25"/>
      <c r="BS294" s="25"/>
      <c r="BT294" s="25"/>
      <c r="BU294" s="25"/>
      <c r="BV294" s="25"/>
      <c r="BW294" s="25"/>
      <c r="BX294" s="25"/>
      <c r="BY294" s="25"/>
      <c r="BZ294" s="25"/>
      <c r="CA294" s="25"/>
      <c r="CB294" s="25"/>
      <c r="CC294" s="25"/>
      <c r="CD294" s="25"/>
      <c r="CE294" s="25"/>
      <c r="CF294" s="25"/>
      <c r="CG294" s="25"/>
      <c r="CH294" s="25"/>
      <c r="CI294" s="25"/>
      <c r="CJ294" s="25"/>
      <c r="CK294" s="25"/>
      <c r="CL294" s="25"/>
      <c r="CM294" s="25"/>
      <c r="CN294" s="25"/>
      <c r="CO294" s="25"/>
      <c r="CP294" s="25"/>
      <c r="CQ294" s="25"/>
      <c r="CR294" s="25"/>
      <c r="CS294" s="25"/>
      <c r="CT294" s="25"/>
      <c r="CU294" s="25"/>
      <c r="CV294" s="25"/>
      <c r="CW294" s="25"/>
      <c r="CX294" s="25"/>
      <c r="CY294" s="25"/>
      <c r="CZ294" s="25"/>
      <c r="DA294" s="25"/>
      <c r="DB294" s="25"/>
      <c r="DC294" s="25"/>
      <c r="DD294" s="25"/>
      <c r="DE294" s="25"/>
      <c r="DF294" s="25"/>
      <c r="DG294" s="25"/>
      <c r="DH294" s="25"/>
      <c r="DI294" s="25"/>
      <c r="DJ294" s="25"/>
      <c r="DK294" s="25"/>
      <c r="DL294" s="25"/>
      <c r="DM294" s="25"/>
      <c r="DN294" s="25"/>
      <c r="DO294" s="25"/>
      <c r="DP294" s="25"/>
      <c r="DQ294" s="25"/>
    </row>
    <row r="295" spans="1:121" s="23" customFormat="1" ht="24.95" customHeight="1" x14ac:dyDescent="0.25">
      <c r="A295" s="898">
        <v>230</v>
      </c>
      <c r="B295" s="666">
        <v>6171</v>
      </c>
      <c r="C295" s="667">
        <v>6121</v>
      </c>
      <c r="D295" s="1258">
        <v>8179</v>
      </c>
      <c r="E295" s="905" t="s">
        <v>285</v>
      </c>
      <c r="F295" s="110" t="s">
        <v>127</v>
      </c>
      <c r="G295" s="111">
        <v>400</v>
      </c>
      <c r="H295" s="111">
        <v>2014</v>
      </c>
      <c r="I295" s="112">
        <v>2020</v>
      </c>
      <c r="J295" s="462">
        <f t="shared" si="41"/>
        <v>98155</v>
      </c>
      <c r="K295" s="463">
        <v>27955</v>
      </c>
      <c r="L295" s="464">
        <v>16800</v>
      </c>
      <c r="M295" s="465">
        <f t="shared" si="40"/>
        <v>41400</v>
      </c>
      <c r="N295" s="466">
        <f>2200-800</f>
        <v>1400</v>
      </c>
      <c r="O295" s="475">
        <v>40000</v>
      </c>
      <c r="P295" s="467">
        <v>0</v>
      </c>
      <c r="Q295" s="464">
        <v>0</v>
      </c>
      <c r="R295" s="469">
        <v>12000</v>
      </c>
      <c r="S295" s="467">
        <v>0</v>
      </c>
      <c r="T295" s="464">
        <v>0</v>
      </c>
      <c r="U295" s="469">
        <v>0</v>
      </c>
      <c r="V295" s="467">
        <v>0</v>
      </c>
      <c r="W295" s="464">
        <v>0</v>
      </c>
      <c r="X295" s="469">
        <v>0</v>
      </c>
      <c r="Y295" s="467">
        <v>0</v>
      </c>
      <c r="Z295" s="468">
        <v>0</v>
      </c>
      <c r="AA295" s="478">
        <v>0</v>
      </c>
      <c r="AB295" s="25"/>
      <c r="AC295" s="25"/>
      <c r="AD295" s="25"/>
      <c r="AE295" s="25"/>
      <c r="AF295" s="25"/>
      <c r="AG295" s="25"/>
      <c r="AH295" s="25"/>
      <c r="AI295" s="25"/>
      <c r="AJ295" s="25"/>
      <c r="AK295" s="25"/>
      <c r="AL295" s="25"/>
      <c r="AM295" s="25"/>
      <c r="AN295" s="25"/>
      <c r="AO295" s="25"/>
      <c r="AP295" s="25"/>
      <c r="AQ295" s="25"/>
      <c r="AR295" s="25"/>
      <c r="AS295" s="25"/>
      <c r="AT295" s="25"/>
      <c r="AU295" s="25"/>
      <c r="AV295" s="25"/>
      <c r="AW295" s="25"/>
      <c r="AX295" s="25"/>
      <c r="AY295" s="25"/>
      <c r="AZ295" s="25"/>
      <c r="BA295" s="25"/>
      <c r="BB295" s="25"/>
      <c r="BC295" s="25"/>
      <c r="BD295" s="25"/>
      <c r="BE295" s="25"/>
      <c r="BF295" s="25"/>
      <c r="BG295" s="25"/>
      <c r="BH295" s="25"/>
      <c r="BI295" s="25"/>
      <c r="BJ295" s="25"/>
      <c r="BK295" s="25"/>
      <c r="BL295" s="25"/>
      <c r="BM295" s="25"/>
      <c r="BN295" s="25"/>
      <c r="BO295" s="25"/>
      <c r="BP295" s="25"/>
      <c r="BQ295" s="25"/>
      <c r="BR295" s="25"/>
      <c r="BS295" s="25"/>
      <c r="BT295" s="25"/>
      <c r="BU295" s="25"/>
      <c r="BV295" s="25"/>
      <c r="BW295" s="25"/>
      <c r="BX295" s="25"/>
      <c r="BY295" s="25"/>
      <c r="BZ295" s="25"/>
      <c r="CA295" s="25"/>
      <c r="CB295" s="25"/>
      <c r="CC295" s="25"/>
      <c r="CD295" s="25"/>
      <c r="CE295" s="25"/>
      <c r="CF295" s="25"/>
      <c r="CG295" s="25"/>
      <c r="CH295" s="25"/>
      <c r="CI295" s="25"/>
      <c r="CJ295" s="25"/>
      <c r="CK295" s="25"/>
      <c r="CL295" s="25"/>
      <c r="CM295" s="25"/>
      <c r="CN295" s="25"/>
      <c r="CO295" s="25"/>
      <c r="CP295" s="25"/>
      <c r="CQ295" s="25"/>
      <c r="CR295" s="25"/>
      <c r="CS295" s="25"/>
      <c r="CT295" s="25"/>
      <c r="CU295" s="25"/>
      <c r="CV295" s="25"/>
      <c r="CW295" s="25"/>
      <c r="CX295" s="25"/>
      <c r="CY295" s="25"/>
      <c r="CZ295" s="25"/>
      <c r="DA295" s="25"/>
      <c r="DB295" s="25"/>
      <c r="DC295" s="25"/>
      <c r="DD295" s="25"/>
      <c r="DE295" s="25"/>
      <c r="DF295" s="25"/>
      <c r="DG295" s="25"/>
      <c r="DH295" s="25"/>
      <c r="DI295" s="25"/>
      <c r="DJ295" s="25"/>
      <c r="DK295" s="25"/>
      <c r="DL295" s="25"/>
      <c r="DM295" s="25"/>
      <c r="DN295" s="25"/>
      <c r="DO295" s="25"/>
      <c r="DP295" s="25"/>
      <c r="DQ295" s="25"/>
    </row>
    <row r="296" spans="1:121" s="23" customFormat="1" ht="24.95" customHeight="1" x14ac:dyDescent="0.25">
      <c r="A296" s="898">
        <v>230</v>
      </c>
      <c r="B296" s="666">
        <v>6171</v>
      </c>
      <c r="C296" s="667">
        <v>6121</v>
      </c>
      <c r="D296" s="1258">
        <v>8186</v>
      </c>
      <c r="E296" s="905" t="s">
        <v>284</v>
      </c>
      <c r="F296" s="110" t="s">
        <v>127</v>
      </c>
      <c r="G296" s="111">
        <v>400</v>
      </c>
      <c r="H296" s="111">
        <v>2013</v>
      </c>
      <c r="I296" s="112">
        <v>2019</v>
      </c>
      <c r="J296" s="462">
        <f t="shared" si="41"/>
        <v>10350</v>
      </c>
      <c r="K296" s="463">
        <v>530</v>
      </c>
      <c r="L296" s="464">
        <v>8820</v>
      </c>
      <c r="M296" s="465">
        <f t="shared" si="40"/>
        <v>1000</v>
      </c>
      <c r="N296" s="466">
        <v>0</v>
      </c>
      <c r="O296" s="475">
        <v>1000</v>
      </c>
      <c r="P296" s="467">
        <v>0</v>
      </c>
      <c r="Q296" s="464">
        <v>0</v>
      </c>
      <c r="R296" s="469">
        <v>0</v>
      </c>
      <c r="S296" s="467">
        <v>0</v>
      </c>
      <c r="T296" s="464">
        <v>0</v>
      </c>
      <c r="U296" s="469">
        <v>0</v>
      </c>
      <c r="V296" s="467">
        <v>0</v>
      </c>
      <c r="W296" s="464">
        <v>0</v>
      </c>
      <c r="X296" s="469">
        <v>0</v>
      </c>
      <c r="Y296" s="467">
        <v>0</v>
      </c>
      <c r="Z296" s="468">
        <v>0</v>
      </c>
      <c r="AA296" s="478">
        <v>0</v>
      </c>
      <c r="AB296" s="25"/>
      <c r="AC296" s="25"/>
      <c r="AD296" s="25"/>
      <c r="AE296" s="25"/>
      <c r="AF296" s="25"/>
      <c r="AG296" s="25"/>
      <c r="AH296" s="25"/>
      <c r="AI296" s="25"/>
      <c r="AJ296" s="25"/>
      <c r="AK296" s="25"/>
      <c r="AL296" s="25"/>
      <c r="AM296" s="25"/>
      <c r="AN296" s="25"/>
      <c r="AO296" s="25"/>
      <c r="AP296" s="25"/>
      <c r="AQ296" s="25"/>
      <c r="AR296" s="25"/>
      <c r="AS296" s="25"/>
      <c r="AT296" s="25"/>
      <c r="AU296" s="25"/>
      <c r="AV296" s="25"/>
      <c r="AW296" s="25"/>
      <c r="AX296" s="25"/>
      <c r="AY296" s="25"/>
      <c r="AZ296" s="25"/>
      <c r="BA296" s="25"/>
      <c r="BB296" s="25"/>
      <c r="BC296" s="25"/>
      <c r="BD296" s="25"/>
      <c r="BE296" s="25"/>
      <c r="BF296" s="25"/>
      <c r="BG296" s="25"/>
      <c r="BH296" s="25"/>
      <c r="BI296" s="25"/>
      <c r="BJ296" s="25"/>
      <c r="BK296" s="25"/>
      <c r="BL296" s="25"/>
      <c r="BM296" s="25"/>
      <c r="BN296" s="25"/>
      <c r="BO296" s="25"/>
      <c r="BP296" s="25"/>
      <c r="BQ296" s="25"/>
      <c r="BR296" s="25"/>
      <c r="BS296" s="25"/>
      <c r="BT296" s="25"/>
      <c r="BU296" s="25"/>
      <c r="BV296" s="25"/>
      <c r="BW296" s="25"/>
      <c r="BX296" s="25"/>
      <c r="BY296" s="25"/>
      <c r="BZ296" s="25"/>
      <c r="CA296" s="25"/>
      <c r="CB296" s="25"/>
      <c r="CC296" s="25"/>
      <c r="CD296" s="25"/>
      <c r="CE296" s="25"/>
      <c r="CF296" s="25"/>
      <c r="CG296" s="25"/>
      <c r="CH296" s="25"/>
      <c r="CI296" s="25"/>
      <c r="CJ296" s="25"/>
      <c r="CK296" s="25"/>
      <c r="CL296" s="25"/>
      <c r="CM296" s="25"/>
      <c r="CN296" s="25"/>
      <c r="CO296" s="25"/>
      <c r="CP296" s="25"/>
      <c r="CQ296" s="25"/>
      <c r="CR296" s="25"/>
      <c r="CS296" s="25"/>
      <c r="CT296" s="25"/>
      <c r="CU296" s="25"/>
      <c r="CV296" s="25"/>
      <c r="CW296" s="25"/>
      <c r="CX296" s="25"/>
      <c r="CY296" s="25"/>
      <c r="CZ296" s="25"/>
      <c r="DA296" s="25"/>
      <c r="DB296" s="25"/>
      <c r="DC296" s="25"/>
      <c r="DD296" s="25"/>
      <c r="DE296" s="25"/>
      <c r="DF296" s="25"/>
      <c r="DG296" s="25"/>
      <c r="DH296" s="25"/>
      <c r="DI296" s="25"/>
      <c r="DJ296" s="25"/>
      <c r="DK296" s="25"/>
      <c r="DL296" s="25"/>
      <c r="DM296" s="25"/>
      <c r="DN296" s="25"/>
      <c r="DO296" s="25"/>
      <c r="DP296" s="25"/>
      <c r="DQ296" s="25"/>
    </row>
    <row r="297" spans="1:121" s="23" customFormat="1" ht="24.95" customHeight="1" x14ac:dyDescent="0.25">
      <c r="A297" s="898">
        <v>230</v>
      </c>
      <c r="B297" s="666">
        <v>6171</v>
      </c>
      <c r="C297" s="667">
        <v>6121</v>
      </c>
      <c r="D297" s="1259">
        <v>8192</v>
      </c>
      <c r="E297" s="904" t="s">
        <v>283</v>
      </c>
      <c r="F297" s="439" t="s">
        <v>127</v>
      </c>
      <c r="G297" s="440">
        <v>400</v>
      </c>
      <c r="H297" s="440">
        <v>2016</v>
      </c>
      <c r="I297" s="441">
        <v>2019</v>
      </c>
      <c r="J297" s="442">
        <f t="shared" si="41"/>
        <v>31734</v>
      </c>
      <c r="K297" s="443">
        <v>525</v>
      </c>
      <c r="L297" s="444">
        <v>1309</v>
      </c>
      <c r="M297" s="445">
        <f t="shared" si="40"/>
        <v>29900</v>
      </c>
      <c r="N297" s="446">
        <f>8643+5571</f>
        <v>14214</v>
      </c>
      <c r="O297" s="447">
        <v>15686</v>
      </c>
      <c r="P297" s="448">
        <v>0</v>
      </c>
      <c r="Q297" s="444">
        <v>0</v>
      </c>
      <c r="R297" s="449">
        <v>0</v>
      </c>
      <c r="S297" s="448">
        <v>0</v>
      </c>
      <c r="T297" s="444">
        <v>0</v>
      </c>
      <c r="U297" s="449">
        <v>0</v>
      </c>
      <c r="V297" s="448">
        <v>0</v>
      </c>
      <c r="W297" s="444">
        <v>0</v>
      </c>
      <c r="X297" s="449">
        <v>0</v>
      </c>
      <c r="Y297" s="448">
        <v>0</v>
      </c>
      <c r="Z297" s="492">
        <v>0</v>
      </c>
      <c r="AA297" s="493">
        <v>0</v>
      </c>
      <c r="AB297" s="25"/>
      <c r="AC297" s="25"/>
      <c r="AD297" s="25"/>
      <c r="AE297" s="25"/>
      <c r="AF297" s="25"/>
      <c r="AG297" s="25"/>
      <c r="AH297" s="25"/>
      <c r="AI297" s="25"/>
      <c r="AJ297" s="25"/>
      <c r="AK297" s="25"/>
      <c r="AL297" s="25"/>
      <c r="AM297" s="25"/>
      <c r="AN297" s="25"/>
      <c r="AO297" s="25"/>
      <c r="AP297" s="25"/>
      <c r="AQ297" s="25"/>
      <c r="AR297" s="25"/>
      <c r="AS297" s="25"/>
      <c r="AT297" s="25"/>
      <c r="AU297" s="25"/>
      <c r="AV297" s="25"/>
      <c r="AW297" s="25"/>
      <c r="AX297" s="25"/>
      <c r="AY297" s="25"/>
      <c r="AZ297" s="25"/>
      <c r="BA297" s="25"/>
      <c r="BB297" s="25"/>
      <c r="BC297" s="25"/>
      <c r="BD297" s="25"/>
      <c r="BE297" s="25"/>
      <c r="BF297" s="25"/>
      <c r="BG297" s="25"/>
      <c r="BH297" s="25"/>
      <c r="BI297" s="25"/>
      <c r="BJ297" s="25"/>
      <c r="BK297" s="25"/>
      <c r="BL297" s="25"/>
      <c r="BM297" s="25"/>
      <c r="BN297" s="25"/>
      <c r="BO297" s="25"/>
      <c r="BP297" s="25"/>
      <c r="BQ297" s="25"/>
      <c r="BR297" s="25"/>
      <c r="BS297" s="25"/>
      <c r="BT297" s="25"/>
      <c r="BU297" s="25"/>
      <c r="BV297" s="25"/>
      <c r="BW297" s="25"/>
      <c r="BX297" s="25"/>
      <c r="BY297" s="25"/>
      <c r="BZ297" s="25"/>
      <c r="CA297" s="25"/>
      <c r="CB297" s="25"/>
      <c r="CC297" s="25"/>
      <c r="CD297" s="25"/>
      <c r="CE297" s="25"/>
      <c r="CF297" s="25"/>
      <c r="CG297" s="25"/>
      <c r="CH297" s="25"/>
      <c r="CI297" s="25"/>
      <c r="CJ297" s="25"/>
      <c r="CK297" s="25"/>
      <c r="CL297" s="25"/>
      <c r="CM297" s="25"/>
      <c r="CN297" s="25"/>
      <c r="CO297" s="25"/>
      <c r="CP297" s="25"/>
      <c r="CQ297" s="25"/>
      <c r="CR297" s="25"/>
      <c r="CS297" s="25"/>
      <c r="CT297" s="25"/>
      <c r="CU297" s="25"/>
      <c r="CV297" s="25"/>
      <c r="CW297" s="25"/>
      <c r="CX297" s="25"/>
      <c r="CY297" s="25"/>
      <c r="CZ297" s="25"/>
      <c r="DA297" s="25"/>
      <c r="DB297" s="25"/>
      <c r="DC297" s="25"/>
      <c r="DD297" s="25"/>
      <c r="DE297" s="25"/>
      <c r="DF297" s="25"/>
      <c r="DG297" s="25"/>
      <c r="DH297" s="25"/>
      <c r="DI297" s="25"/>
      <c r="DJ297" s="25"/>
      <c r="DK297" s="25"/>
      <c r="DL297" s="25"/>
      <c r="DM297" s="25"/>
      <c r="DN297" s="25"/>
      <c r="DO297" s="25"/>
      <c r="DP297" s="25"/>
      <c r="DQ297" s="25"/>
    </row>
    <row r="298" spans="1:121" s="23" customFormat="1" ht="24.95" customHeight="1" x14ac:dyDescent="0.25">
      <c r="A298" s="898">
        <v>230</v>
      </c>
      <c r="B298" s="666">
        <v>6171</v>
      </c>
      <c r="C298" s="667">
        <v>6121</v>
      </c>
      <c r="D298" s="1231">
        <v>8193</v>
      </c>
      <c r="E298" s="897" t="s">
        <v>282</v>
      </c>
      <c r="F298" s="110" t="s">
        <v>127</v>
      </c>
      <c r="G298" s="111">
        <v>400</v>
      </c>
      <c r="H298" s="902">
        <v>2016</v>
      </c>
      <c r="I298" s="797">
        <v>2020</v>
      </c>
      <c r="J298" s="462">
        <f t="shared" si="41"/>
        <v>5500</v>
      </c>
      <c r="K298" s="463">
        <v>0</v>
      </c>
      <c r="L298" s="464">
        <v>0</v>
      </c>
      <c r="M298" s="725">
        <f t="shared" si="40"/>
        <v>500</v>
      </c>
      <c r="N298" s="900">
        <v>0</v>
      </c>
      <c r="O298" s="475">
        <v>500</v>
      </c>
      <c r="P298" s="467">
        <v>0</v>
      </c>
      <c r="Q298" s="464">
        <v>0</v>
      </c>
      <c r="R298" s="469">
        <v>5000</v>
      </c>
      <c r="S298" s="467">
        <v>0</v>
      </c>
      <c r="T298" s="464">
        <v>0</v>
      </c>
      <c r="U298" s="469">
        <v>0</v>
      </c>
      <c r="V298" s="467">
        <v>0</v>
      </c>
      <c r="W298" s="464">
        <v>0</v>
      </c>
      <c r="X298" s="469">
        <v>0</v>
      </c>
      <c r="Y298" s="467">
        <v>0</v>
      </c>
      <c r="Z298" s="468">
        <v>0</v>
      </c>
      <c r="AA298" s="478">
        <v>0</v>
      </c>
      <c r="AB298" s="25"/>
      <c r="AC298" s="25"/>
      <c r="AD298" s="25"/>
      <c r="AE298" s="25"/>
      <c r="AF298" s="25"/>
      <c r="AG298" s="25"/>
      <c r="AH298" s="25"/>
      <c r="AI298" s="25"/>
      <c r="AJ298" s="25"/>
      <c r="AK298" s="25"/>
      <c r="AL298" s="25"/>
      <c r="AM298" s="25"/>
      <c r="AN298" s="25"/>
      <c r="AO298" s="25"/>
      <c r="AP298" s="25"/>
      <c r="AQ298" s="25"/>
      <c r="AR298" s="25"/>
      <c r="AS298" s="25"/>
      <c r="AT298" s="25"/>
      <c r="AU298" s="25"/>
      <c r="AV298" s="25"/>
      <c r="AW298" s="25"/>
      <c r="AX298" s="25"/>
      <c r="AY298" s="25"/>
      <c r="AZ298" s="25"/>
      <c r="BA298" s="25"/>
      <c r="BB298" s="25"/>
      <c r="BC298" s="25"/>
      <c r="BD298" s="25"/>
      <c r="BE298" s="25"/>
      <c r="BF298" s="25"/>
      <c r="BG298" s="25"/>
      <c r="BH298" s="25"/>
      <c r="BI298" s="25"/>
      <c r="BJ298" s="25"/>
      <c r="BK298" s="25"/>
      <c r="BL298" s="25"/>
      <c r="BM298" s="25"/>
      <c r="BN298" s="25"/>
      <c r="BO298" s="25"/>
      <c r="BP298" s="25"/>
      <c r="BQ298" s="25"/>
      <c r="BR298" s="25"/>
      <c r="BS298" s="25"/>
      <c r="BT298" s="25"/>
      <c r="BU298" s="25"/>
      <c r="BV298" s="25"/>
      <c r="BW298" s="25"/>
      <c r="BX298" s="25"/>
      <c r="BY298" s="25"/>
      <c r="BZ298" s="25"/>
      <c r="CA298" s="25"/>
      <c r="CB298" s="25"/>
      <c r="CC298" s="25"/>
      <c r="CD298" s="25"/>
      <c r="CE298" s="25"/>
      <c r="CF298" s="25"/>
      <c r="CG298" s="25"/>
      <c r="CH298" s="25"/>
      <c r="CI298" s="25"/>
      <c r="CJ298" s="25"/>
      <c r="CK298" s="25"/>
      <c r="CL298" s="25"/>
      <c r="CM298" s="25"/>
      <c r="CN298" s="25"/>
      <c r="CO298" s="25"/>
      <c r="CP298" s="25"/>
      <c r="CQ298" s="25"/>
      <c r="CR298" s="25"/>
      <c r="CS298" s="25"/>
      <c r="CT298" s="25"/>
      <c r="CU298" s="25"/>
      <c r="CV298" s="25"/>
      <c r="CW298" s="25"/>
      <c r="CX298" s="25"/>
      <c r="CY298" s="25"/>
      <c r="CZ298" s="25"/>
      <c r="DA298" s="25"/>
      <c r="DB298" s="25"/>
      <c r="DC298" s="25"/>
      <c r="DD298" s="25"/>
      <c r="DE298" s="25"/>
      <c r="DF298" s="25"/>
      <c r="DG298" s="25"/>
      <c r="DH298" s="25"/>
      <c r="DI298" s="25"/>
      <c r="DJ298" s="25"/>
      <c r="DK298" s="25"/>
      <c r="DL298" s="25"/>
      <c r="DM298" s="25"/>
      <c r="DN298" s="25"/>
      <c r="DO298" s="25"/>
      <c r="DP298" s="25"/>
      <c r="DQ298" s="25"/>
    </row>
    <row r="299" spans="1:121" s="23" customFormat="1" ht="24.95" customHeight="1" x14ac:dyDescent="0.25">
      <c r="A299" s="898">
        <v>230</v>
      </c>
      <c r="B299" s="666">
        <v>6171</v>
      </c>
      <c r="C299" s="667">
        <v>6121</v>
      </c>
      <c r="D299" s="1231">
        <v>8198</v>
      </c>
      <c r="E299" s="903" t="s">
        <v>281</v>
      </c>
      <c r="F299" s="110" t="s">
        <v>127</v>
      </c>
      <c r="G299" s="111">
        <v>400</v>
      </c>
      <c r="H299" s="902">
        <v>2016</v>
      </c>
      <c r="I299" s="797">
        <v>2019</v>
      </c>
      <c r="J299" s="462">
        <f t="shared" si="41"/>
        <v>80152</v>
      </c>
      <c r="K299" s="608"/>
      <c r="L299" s="464">
        <v>0</v>
      </c>
      <c r="M299" s="725">
        <f t="shared" si="40"/>
        <v>2152</v>
      </c>
      <c r="N299" s="900">
        <v>1152</v>
      </c>
      <c r="O299" s="475">
        <f>2000-1000</f>
        <v>1000</v>
      </c>
      <c r="P299" s="468"/>
      <c r="Q299" s="464">
        <v>0</v>
      </c>
      <c r="R299" s="722">
        <v>10000</v>
      </c>
      <c r="S299" s="467">
        <v>0</v>
      </c>
      <c r="T299" s="464">
        <v>0</v>
      </c>
      <c r="U299" s="722">
        <v>20000</v>
      </c>
      <c r="V299" s="467">
        <v>0</v>
      </c>
      <c r="W299" s="464">
        <v>0</v>
      </c>
      <c r="X299" s="722">
        <v>20000</v>
      </c>
      <c r="Y299" s="468">
        <v>0</v>
      </c>
      <c r="Z299" s="468">
        <v>0</v>
      </c>
      <c r="AA299" s="478">
        <v>28000</v>
      </c>
      <c r="AB299" s="25"/>
      <c r="AC299" s="25"/>
      <c r="AD299" s="25"/>
      <c r="AE299" s="25"/>
      <c r="AF299" s="25"/>
      <c r="AG299" s="25"/>
      <c r="AH299" s="25"/>
      <c r="AI299" s="25"/>
      <c r="AJ299" s="25"/>
      <c r="AK299" s="25"/>
      <c r="AL299" s="25"/>
      <c r="AM299" s="25"/>
      <c r="AN299" s="25"/>
      <c r="AO299" s="25"/>
      <c r="AP299" s="25"/>
      <c r="AQ299" s="25"/>
      <c r="AR299" s="25"/>
      <c r="AS299" s="25"/>
      <c r="AT299" s="25"/>
      <c r="AU299" s="25"/>
      <c r="AV299" s="25"/>
      <c r="AW299" s="25"/>
      <c r="AX299" s="25"/>
      <c r="AY299" s="25"/>
      <c r="AZ299" s="25"/>
      <c r="BA299" s="25"/>
      <c r="BB299" s="25"/>
      <c r="BC299" s="25"/>
      <c r="BD299" s="25"/>
      <c r="BE299" s="25"/>
      <c r="BF299" s="25"/>
      <c r="BG299" s="25"/>
      <c r="BH299" s="25"/>
      <c r="BI299" s="25"/>
      <c r="BJ299" s="25"/>
      <c r="BK299" s="25"/>
      <c r="BL299" s="25"/>
      <c r="BM299" s="25"/>
      <c r="BN299" s="25"/>
      <c r="BO299" s="25"/>
      <c r="BP299" s="25"/>
      <c r="BQ299" s="25"/>
      <c r="BR299" s="25"/>
      <c r="BS299" s="25"/>
      <c r="BT299" s="25"/>
      <c r="BU299" s="25"/>
      <c r="BV299" s="25"/>
      <c r="BW299" s="25"/>
      <c r="BX299" s="25"/>
      <c r="BY299" s="25"/>
      <c r="BZ299" s="25"/>
      <c r="CA299" s="25"/>
      <c r="CB299" s="25"/>
      <c r="CC299" s="25"/>
      <c r="CD299" s="25"/>
      <c r="CE299" s="25"/>
      <c r="CF299" s="25"/>
      <c r="CG299" s="25"/>
      <c r="CH299" s="25"/>
      <c r="CI299" s="25"/>
      <c r="CJ299" s="25"/>
      <c r="CK299" s="25"/>
      <c r="CL299" s="25"/>
      <c r="CM299" s="25"/>
      <c r="CN299" s="25"/>
      <c r="CO299" s="25"/>
      <c r="CP299" s="25"/>
      <c r="CQ299" s="25"/>
      <c r="CR299" s="25"/>
      <c r="CS299" s="25"/>
      <c r="CT299" s="25"/>
      <c r="CU299" s="25"/>
      <c r="CV299" s="25"/>
      <c r="CW299" s="25"/>
      <c r="CX299" s="25"/>
      <c r="CY299" s="25"/>
      <c r="CZ299" s="25"/>
      <c r="DA299" s="25"/>
      <c r="DB299" s="25"/>
      <c r="DC299" s="25"/>
      <c r="DD299" s="25"/>
      <c r="DE299" s="25"/>
      <c r="DF299" s="25"/>
      <c r="DG299" s="25"/>
      <c r="DH299" s="25"/>
      <c r="DI299" s="25"/>
      <c r="DJ299" s="25"/>
      <c r="DK299" s="25"/>
      <c r="DL299" s="25"/>
      <c r="DM299" s="25"/>
      <c r="DN299" s="25"/>
      <c r="DO299" s="25"/>
      <c r="DP299" s="25"/>
      <c r="DQ299" s="25"/>
    </row>
    <row r="300" spans="1:121" s="23" customFormat="1" ht="24.95" customHeight="1" x14ac:dyDescent="0.25">
      <c r="A300" s="898">
        <v>230</v>
      </c>
      <c r="B300" s="666">
        <v>6171</v>
      </c>
      <c r="C300" s="667">
        <v>6121</v>
      </c>
      <c r="D300" s="1231">
        <v>8206</v>
      </c>
      <c r="E300" s="897" t="s">
        <v>280</v>
      </c>
      <c r="F300" s="110" t="s">
        <v>127</v>
      </c>
      <c r="G300" s="111">
        <v>400</v>
      </c>
      <c r="H300" s="902">
        <v>2016</v>
      </c>
      <c r="I300" s="901">
        <v>2020</v>
      </c>
      <c r="J300" s="462">
        <f t="shared" si="41"/>
        <v>2500</v>
      </c>
      <c r="K300" s="608">
        <v>0</v>
      </c>
      <c r="L300" s="464">
        <v>0</v>
      </c>
      <c r="M300" s="465">
        <f t="shared" si="40"/>
        <v>500</v>
      </c>
      <c r="N300" s="900">
        <v>0</v>
      </c>
      <c r="O300" s="475">
        <v>500</v>
      </c>
      <c r="P300" s="468">
        <v>0</v>
      </c>
      <c r="Q300" s="464">
        <v>0</v>
      </c>
      <c r="R300" s="722">
        <v>2000</v>
      </c>
      <c r="S300" s="467">
        <v>0</v>
      </c>
      <c r="T300" s="464">
        <v>0</v>
      </c>
      <c r="U300" s="722">
        <v>0</v>
      </c>
      <c r="V300" s="467">
        <v>0</v>
      </c>
      <c r="W300" s="464">
        <v>0</v>
      </c>
      <c r="X300" s="722">
        <v>0</v>
      </c>
      <c r="Y300" s="468">
        <v>0</v>
      </c>
      <c r="Z300" s="468">
        <v>0</v>
      </c>
      <c r="AA300" s="478">
        <v>0</v>
      </c>
      <c r="AB300" s="25"/>
      <c r="AC300" s="25"/>
      <c r="AD300" s="25"/>
      <c r="AE300" s="25"/>
      <c r="AF300" s="25"/>
      <c r="AG300" s="25"/>
      <c r="AH300" s="25"/>
      <c r="AI300" s="25"/>
      <c r="AJ300" s="25"/>
      <c r="AK300" s="25"/>
      <c r="AL300" s="25"/>
      <c r="AM300" s="25"/>
      <c r="AN300" s="25"/>
      <c r="AO300" s="25"/>
      <c r="AP300" s="25"/>
      <c r="AQ300" s="25"/>
      <c r="AR300" s="25"/>
      <c r="AS300" s="25"/>
      <c r="AT300" s="25"/>
      <c r="AU300" s="25"/>
      <c r="AV300" s="25"/>
      <c r="AW300" s="25"/>
      <c r="AX300" s="25"/>
      <c r="AY300" s="25"/>
      <c r="AZ300" s="25"/>
      <c r="BA300" s="25"/>
      <c r="BB300" s="25"/>
      <c r="BC300" s="25"/>
      <c r="BD300" s="25"/>
      <c r="BE300" s="25"/>
      <c r="BF300" s="25"/>
      <c r="BG300" s="25"/>
      <c r="BH300" s="25"/>
      <c r="BI300" s="25"/>
      <c r="BJ300" s="25"/>
      <c r="BK300" s="25"/>
      <c r="BL300" s="25"/>
      <c r="BM300" s="25"/>
      <c r="BN300" s="25"/>
      <c r="BO300" s="25"/>
      <c r="BP300" s="25"/>
      <c r="BQ300" s="25"/>
      <c r="BR300" s="25"/>
      <c r="BS300" s="25"/>
      <c r="BT300" s="25"/>
      <c r="BU300" s="25"/>
      <c r="BV300" s="25"/>
      <c r="BW300" s="25"/>
      <c r="BX300" s="25"/>
      <c r="BY300" s="25"/>
      <c r="BZ300" s="25"/>
      <c r="CA300" s="25"/>
      <c r="CB300" s="25"/>
      <c r="CC300" s="25"/>
      <c r="CD300" s="25"/>
      <c r="CE300" s="25"/>
      <c r="CF300" s="25"/>
      <c r="CG300" s="25"/>
      <c r="CH300" s="25"/>
      <c r="CI300" s="25"/>
      <c r="CJ300" s="25"/>
      <c r="CK300" s="25"/>
      <c r="CL300" s="25"/>
      <c r="CM300" s="25"/>
      <c r="CN300" s="25"/>
      <c r="CO300" s="25"/>
      <c r="CP300" s="25"/>
      <c r="CQ300" s="25"/>
      <c r="CR300" s="25"/>
      <c r="CS300" s="25"/>
      <c r="CT300" s="25"/>
      <c r="CU300" s="25"/>
      <c r="CV300" s="25"/>
      <c r="CW300" s="25"/>
      <c r="CX300" s="25"/>
      <c r="CY300" s="25"/>
      <c r="CZ300" s="25"/>
      <c r="DA300" s="25"/>
      <c r="DB300" s="25"/>
      <c r="DC300" s="25"/>
      <c r="DD300" s="25"/>
      <c r="DE300" s="25"/>
      <c r="DF300" s="25"/>
      <c r="DG300" s="25"/>
      <c r="DH300" s="25"/>
      <c r="DI300" s="25"/>
      <c r="DJ300" s="25"/>
      <c r="DK300" s="25"/>
      <c r="DL300" s="25"/>
      <c r="DM300" s="25"/>
      <c r="DN300" s="25"/>
      <c r="DO300" s="25"/>
      <c r="DP300" s="25"/>
      <c r="DQ300" s="25"/>
    </row>
    <row r="301" spans="1:121" s="23" customFormat="1" ht="24.95" customHeight="1" x14ac:dyDescent="0.25">
      <c r="A301" s="898">
        <v>230</v>
      </c>
      <c r="B301" s="666">
        <v>6171</v>
      </c>
      <c r="C301" s="667">
        <v>6121</v>
      </c>
      <c r="D301" s="1231">
        <v>8221</v>
      </c>
      <c r="E301" s="897" t="s">
        <v>279</v>
      </c>
      <c r="F301" s="110" t="s">
        <v>127</v>
      </c>
      <c r="G301" s="111">
        <v>400</v>
      </c>
      <c r="H301" s="111">
        <v>2019</v>
      </c>
      <c r="I301" s="461">
        <v>2021</v>
      </c>
      <c r="J301" s="442">
        <f t="shared" si="41"/>
        <v>30650</v>
      </c>
      <c r="K301" s="540">
        <v>0</v>
      </c>
      <c r="L301" s="444">
        <v>0</v>
      </c>
      <c r="M301" s="445">
        <f t="shared" si="40"/>
        <v>650</v>
      </c>
      <c r="N301" s="899">
        <v>150</v>
      </c>
      <c r="O301" s="447">
        <v>500</v>
      </c>
      <c r="P301" s="468">
        <v>0</v>
      </c>
      <c r="Q301" s="444">
        <v>0</v>
      </c>
      <c r="R301" s="505">
        <v>10000</v>
      </c>
      <c r="S301" s="448">
        <v>0</v>
      </c>
      <c r="T301" s="444">
        <v>0</v>
      </c>
      <c r="U301" s="505">
        <v>10000</v>
      </c>
      <c r="V301" s="448">
        <v>0</v>
      </c>
      <c r="W301" s="444">
        <v>0</v>
      </c>
      <c r="X301" s="505">
        <v>10000</v>
      </c>
      <c r="Y301" s="492">
        <v>0</v>
      </c>
      <c r="Z301" s="492">
        <v>0</v>
      </c>
      <c r="AA301" s="493">
        <v>0</v>
      </c>
      <c r="AB301" s="25"/>
      <c r="AC301" s="25"/>
      <c r="AD301" s="25"/>
      <c r="AE301" s="25"/>
      <c r="AF301" s="25"/>
      <c r="AG301" s="25"/>
      <c r="AH301" s="25"/>
      <c r="AI301" s="25"/>
      <c r="AJ301" s="25"/>
      <c r="AK301" s="25"/>
      <c r="AL301" s="25"/>
      <c r="AM301" s="25"/>
      <c r="AN301" s="25"/>
      <c r="AO301" s="25"/>
      <c r="AP301" s="25"/>
      <c r="AQ301" s="25"/>
      <c r="AR301" s="25"/>
      <c r="AS301" s="25"/>
      <c r="AT301" s="25"/>
      <c r="AU301" s="25"/>
      <c r="AV301" s="25"/>
      <c r="AW301" s="25"/>
      <c r="AX301" s="25"/>
      <c r="AY301" s="25"/>
      <c r="AZ301" s="25"/>
      <c r="BA301" s="25"/>
      <c r="BB301" s="25"/>
      <c r="BC301" s="25"/>
      <c r="BD301" s="25"/>
      <c r="BE301" s="25"/>
      <c r="BF301" s="25"/>
      <c r="BG301" s="25"/>
      <c r="BH301" s="25"/>
      <c r="BI301" s="25"/>
      <c r="BJ301" s="25"/>
      <c r="BK301" s="25"/>
      <c r="BL301" s="25"/>
      <c r="BM301" s="25"/>
      <c r="BN301" s="25"/>
      <c r="BO301" s="25"/>
      <c r="BP301" s="25"/>
      <c r="BQ301" s="25"/>
      <c r="BR301" s="25"/>
      <c r="BS301" s="25"/>
      <c r="BT301" s="25"/>
      <c r="BU301" s="25"/>
      <c r="BV301" s="25"/>
      <c r="BW301" s="25"/>
      <c r="BX301" s="25"/>
      <c r="BY301" s="25"/>
      <c r="BZ301" s="25"/>
      <c r="CA301" s="25"/>
      <c r="CB301" s="25"/>
      <c r="CC301" s="25"/>
      <c r="CD301" s="25"/>
      <c r="CE301" s="25"/>
      <c r="CF301" s="25"/>
      <c r="CG301" s="25"/>
      <c r="CH301" s="25"/>
      <c r="CI301" s="25"/>
      <c r="CJ301" s="25"/>
      <c r="CK301" s="25"/>
      <c r="CL301" s="25"/>
      <c r="CM301" s="25"/>
      <c r="CN301" s="25"/>
      <c r="CO301" s="25"/>
      <c r="CP301" s="25"/>
      <c r="CQ301" s="25"/>
      <c r="CR301" s="25"/>
      <c r="CS301" s="25"/>
      <c r="CT301" s="25"/>
      <c r="CU301" s="25"/>
      <c r="CV301" s="25"/>
      <c r="CW301" s="25"/>
      <c r="CX301" s="25"/>
      <c r="CY301" s="25"/>
      <c r="CZ301" s="25"/>
      <c r="DA301" s="25"/>
      <c r="DB301" s="25"/>
      <c r="DC301" s="25"/>
      <c r="DD301" s="25"/>
      <c r="DE301" s="25"/>
      <c r="DF301" s="25"/>
      <c r="DG301" s="25"/>
      <c r="DH301" s="25"/>
      <c r="DI301" s="25"/>
      <c r="DJ301" s="25"/>
      <c r="DK301" s="25"/>
      <c r="DL301" s="25"/>
      <c r="DM301" s="25"/>
      <c r="DN301" s="25"/>
      <c r="DO301" s="25"/>
      <c r="DP301" s="25"/>
      <c r="DQ301" s="25"/>
    </row>
    <row r="302" spans="1:121" s="23" customFormat="1" ht="24.95" customHeight="1" x14ac:dyDescent="0.25">
      <c r="A302" s="898">
        <v>230</v>
      </c>
      <c r="B302" s="781">
        <v>6171</v>
      </c>
      <c r="C302" s="782">
        <v>6121</v>
      </c>
      <c r="D302" s="1231">
        <v>8244</v>
      </c>
      <c r="E302" s="897" t="s">
        <v>278</v>
      </c>
      <c r="F302" s="110" t="s">
        <v>127</v>
      </c>
      <c r="G302" s="111">
        <v>400</v>
      </c>
      <c r="H302" s="111">
        <v>2018</v>
      </c>
      <c r="I302" s="112">
        <v>2025</v>
      </c>
      <c r="J302" s="462">
        <f t="shared" si="41"/>
        <v>1000500</v>
      </c>
      <c r="K302" s="463">
        <v>0</v>
      </c>
      <c r="L302" s="464">
        <v>0</v>
      </c>
      <c r="M302" s="465">
        <f t="shared" si="40"/>
        <v>500</v>
      </c>
      <c r="N302" s="466">
        <v>0</v>
      </c>
      <c r="O302" s="475">
        <v>500</v>
      </c>
      <c r="P302" s="467">
        <v>0</v>
      </c>
      <c r="Q302" s="464">
        <v>0</v>
      </c>
      <c r="R302" s="469">
        <f>300000-290000</f>
        <v>10000</v>
      </c>
      <c r="S302" s="467">
        <v>0</v>
      </c>
      <c r="T302" s="464">
        <v>0</v>
      </c>
      <c r="U302" s="469">
        <v>200000</v>
      </c>
      <c r="V302" s="467">
        <v>0</v>
      </c>
      <c r="W302" s="464">
        <v>0</v>
      </c>
      <c r="X302" s="469">
        <v>200000</v>
      </c>
      <c r="Y302" s="467">
        <v>0</v>
      </c>
      <c r="Z302" s="468">
        <v>0</v>
      </c>
      <c r="AA302" s="478">
        <v>590000</v>
      </c>
      <c r="AB302" s="32"/>
      <c r="AC302" s="32"/>
      <c r="AD302" s="32"/>
      <c r="AE302" s="32"/>
      <c r="AF302" s="32"/>
      <c r="AG302" s="25"/>
      <c r="AH302" s="25"/>
      <c r="AI302" s="25"/>
      <c r="AJ302" s="25"/>
      <c r="AK302" s="25"/>
      <c r="AL302" s="25"/>
      <c r="AM302" s="25"/>
      <c r="AN302" s="25"/>
      <c r="AO302" s="25"/>
      <c r="AP302" s="25"/>
      <c r="AQ302" s="25"/>
      <c r="AR302" s="25"/>
      <c r="AS302" s="25"/>
      <c r="AT302" s="25"/>
      <c r="AU302" s="25"/>
      <c r="AV302" s="25"/>
      <c r="AW302" s="25"/>
      <c r="AX302" s="25"/>
      <c r="AY302" s="25"/>
      <c r="AZ302" s="25"/>
      <c r="BA302" s="25"/>
      <c r="BB302" s="25"/>
      <c r="BC302" s="25"/>
      <c r="BD302" s="25"/>
      <c r="BE302" s="25"/>
      <c r="BF302" s="25"/>
      <c r="BG302" s="25"/>
      <c r="BH302" s="25"/>
      <c r="BI302" s="25"/>
      <c r="BJ302" s="25"/>
      <c r="BK302" s="25"/>
      <c r="BL302" s="25"/>
      <c r="BM302" s="25"/>
      <c r="BN302" s="25"/>
      <c r="BO302" s="25"/>
      <c r="BP302" s="25"/>
      <c r="BQ302" s="25"/>
      <c r="BR302" s="25"/>
      <c r="BS302" s="25"/>
      <c r="BT302" s="25"/>
      <c r="BU302" s="25"/>
      <c r="BV302" s="25"/>
      <c r="BW302" s="25"/>
      <c r="BX302" s="25"/>
      <c r="BY302" s="25"/>
      <c r="BZ302" s="25"/>
      <c r="CA302" s="25"/>
      <c r="CB302" s="25"/>
      <c r="CC302" s="25"/>
      <c r="CD302" s="25"/>
      <c r="CE302" s="25"/>
      <c r="CF302" s="25"/>
      <c r="CG302" s="25"/>
      <c r="CH302" s="25"/>
      <c r="CI302" s="25"/>
      <c r="CJ302" s="25"/>
      <c r="CK302" s="25"/>
      <c r="CL302" s="25"/>
      <c r="CM302" s="25"/>
      <c r="CN302" s="25"/>
      <c r="CO302" s="25"/>
      <c r="CP302" s="25"/>
      <c r="CQ302" s="25"/>
      <c r="CR302" s="25"/>
      <c r="CS302" s="25"/>
      <c r="CT302" s="25"/>
      <c r="CU302" s="25"/>
      <c r="CV302" s="25"/>
      <c r="CW302" s="25"/>
      <c r="CX302" s="25"/>
      <c r="CY302" s="25"/>
      <c r="CZ302" s="25"/>
      <c r="DA302" s="25"/>
      <c r="DB302" s="25"/>
      <c r="DC302" s="25"/>
      <c r="DD302" s="25"/>
      <c r="DE302" s="25"/>
      <c r="DF302" s="25"/>
      <c r="DG302" s="25"/>
      <c r="DH302" s="25"/>
      <c r="DI302" s="25"/>
      <c r="DJ302" s="25"/>
      <c r="DK302" s="25"/>
      <c r="DL302" s="25"/>
      <c r="DM302" s="25"/>
      <c r="DN302" s="25"/>
      <c r="DO302" s="25"/>
      <c r="DP302" s="25"/>
      <c r="DQ302" s="25"/>
    </row>
    <row r="303" spans="1:121" s="894" customFormat="1" ht="24.95" customHeight="1" x14ac:dyDescent="0.25">
      <c r="A303" s="600">
        <v>230</v>
      </c>
      <c r="B303" s="555">
        <v>6211</v>
      </c>
      <c r="C303" s="896">
        <v>6121</v>
      </c>
      <c r="D303" s="895">
        <v>8245</v>
      </c>
      <c r="E303" s="510" t="s">
        <v>277</v>
      </c>
      <c r="F303" s="765" t="s">
        <v>127</v>
      </c>
      <c r="G303" s="440">
        <v>400</v>
      </c>
      <c r="H303" s="440">
        <v>2018</v>
      </c>
      <c r="I303" s="441">
        <v>2023</v>
      </c>
      <c r="J303" s="442">
        <f t="shared" si="41"/>
        <v>33500</v>
      </c>
      <c r="K303" s="443">
        <v>0</v>
      </c>
      <c r="L303" s="444">
        <v>0</v>
      </c>
      <c r="M303" s="445">
        <f t="shared" si="40"/>
        <v>500</v>
      </c>
      <c r="N303" s="446">
        <v>0</v>
      </c>
      <c r="O303" s="447">
        <v>500</v>
      </c>
      <c r="P303" s="448">
        <v>0</v>
      </c>
      <c r="Q303" s="444">
        <v>0</v>
      </c>
      <c r="R303" s="449">
        <v>3000</v>
      </c>
      <c r="S303" s="448">
        <v>0</v>
      </c>
      <c r="T303" s="444">
        <v>0</v>
      </c>
      <c r="U303" s="449">
        <v>20000</v>
      </c>
      <c r="V303" s="448">
        <v>0</v>
      </c>
      <c r="W303" s="444">
        <v>0</v>
      </c>
      <c r="X303" s="449">
        <v>10000</v>
      </c>
      <c r="Y303" s="448">
        <v>0</v>
      </c>
      <c r="Z303" s="492">
        <v>0</v>
      </c>
      <c r="AA303" s="493">
        <v>0</v>
      </c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  <c r="AQ303" s="32"/>
      <c r="AR303" s="32"/>
      <c r="AS303" s="32"/>
      <c r="AT303" s="32"/>
      <c r="AU303" s="32"/>
      <c r="AV303" s="32"/>
      <c r="AW303" s="32"/>
      <c r="AX303" s="32"/>
      <c r="AY303" s="32"/>
      <c r="AZ303" s="32"/>
      <c r="BA303" s="32"/>
      <c r="BB303" s="32"/>
      <c r="BC303" s="32"/>
      <c r="BD303" s="32"/>
      <c r="BE303" s="32"/>
      <c r="BF303" s="32"/>
      <c r="BG303" s="32"/>
      <c r="BH303" s="32"/>
      <c r="BI303" s="32"/>
      <c r="BJ303" s="32"/>
      <c r="BK303" s="32"/>
      <c r="BL303" s="32"/>
      <c r="BM303" s="32"/>
      <c r="BN303" s="32"/>
      <c r="BO303" s="32"/>
      <c r="BP303" s="32"/>
      <c r="BQ303" s="32"/>
      <c r="BR303" s="32"/>
      <c r="BS303" s="32"/>
      <c r="BT303" s="32"/>
      <c r="BU303" s="32"/>
      <c r="BV303" s="32"/>
      <c r="BW303" s="32"/>
      <c r="BX303" s="32"/>
      <c r="BY303" s="32"/>
      <c r="BZ303" s="32"/>
      <c r="CA303" s="32"/>
      <c r="CB303" s="32"/>
      <c r="CC303" s="32"/>
      <c r="CD303" s="32"/>
      <c r="CE303" s="32"/>
      <c r="CF303" s="32"/>
      <c r="CG303" s="32"/>
      <c r="CH303" s="32"/>
      <c r="CI303" s="32"/>
      <c r="CJ303" s="32"/>
      <c r="CK303" s="32"/>
      <c r="CL303" s="32"/>
      <c r="CM303" s="32"/>
      <c r="CN303" s="32"/>
      <c r="CO303" s="32"/>
      <c r="CP303" s="32"/>
      <c r="CQ303" s="32"/>
      <c r="CR303" s="32"/>
      <c r="CS303" s="32"/>
      <c r="CT303" s="32"/>
      <c r="CU303" s="32"/>
      <c r="CV303" s="32"/>
      <c r="CW303" s="32"/>
      <c r="CX303" s="32"/>
      <c r="CY303" s="32"/>
      <c r="CZ303" s="32"/>
      <c r="DA303" s="32"/>
      <c r="DB303" s="32"/>
      <c r="DC303" s="32"/>
      <c r="DD303" s="32"/>
      <c r="DE303" s="32"/>
      <c r="DF303" s="32"/>
      <c r="DG303" s="32"/>
      <c r="DH303" s="32"/>
      <c r="DI303" s="32"/>
      <c r="DJ303" s="32"/>
      <c r="DK303" s="32"/>
      <c r="DL303" s="32"/>
      <c r="DM303" s="32"/>
      <c r="DN303" s="32"/>
      <c r="DO303" s="32"/>
      <c r="DP303" s="32"/>
      <c r="DQ303" s="32"/>
    </row>
    <row r="304" spans="1:121" s="682" customFormat="1" ht="24.95" customHeight="1" x14ac:dyDescent="0.25">
      <c r="A304" s="893">
        <v>230</v>
      </c>
      <c r="B304" s="892">
        <v>6409</v>
      </c>
      <c r="C304" s="879">
        <v>6901</v>
      </c>
      <c r="D304" s="891">
        <v>8064</v>
      </c>
      <c r="E304" s="890" t="s">
        <v>276</v>
      </c>
      <c r="F304" s="550"/>
      <c r="G304" s="503">
        <v>400</v>
      </c>
      <c r="H304" s="503">
        <v>2004</v>
      </c>
      <c r="I304" s="504">
        <v>2022</v>
      </c>
      <c r="J304" s="1191">
        <f t="shared" si="41"/>
        <v>107992</v>
      </c>
      <c r="K304" s="1208">
        <v>0</v>
      </c>
      <c r="L304" s="882">
        <v>0</v>
      </c>
      <c r="M304" s="889">
        <f t="shared" si="40"/>
        <v>17992</v>
      </c>
      <c r="N304" s="888">
        <v>0</v>
      </c>
      <c r="O304" s="887">
        <f>30000-10000-5000-5000+7992</f>
        <v>17992</v>
      </c>
      <c r="P304" s="883">
        <v>0</v>
      </c>
      <c r="Q304" s="885">
        <v>0</v>
      </c>
      <c r="R304" s="884">
        <v>30000</v>
      </c>
      <c r="S304" s="141">
        <v>0</v>
      </c>
      <c r="T304" s="143">
        <v>0</v>
      </c>
      <c r="U304" s="886">
        <v>30000</v>
      </c>
      <c r="V304" s="883">
        <v>0</v>
      </c>
      <c r="W304" s="885">
        <v>0</v>
      </c>
      <c r="X304" s="884">
        <v>30000</v>
      </c>
      <c r="Y304" s="883">
        <v>0</v>
      </c>
      <c r="Z304" s="885">
        <v>0</v>
      </c>
      <c r="AA304" s="1191">
        <v>0</v>
      </c>
      <c r="AB304" s="619"/>
      <c r="AC304" s="619"/>
      <c r="AD304" s="619"/>
      <c r="AE304" s="619"/>
      <c r="AF304" s="619"/>
      <c r="AG304" s="619"/>
      <c r="AH304" s="619"/>
      <c r="AI304" s="619"/>
      <c r="AJ304" s="619"/>
      <c r="AK304" s="619"/>
      <c r="AL304" s="619"/>
      <c r="AM304" s="619"/>
      <c r="AN304" s="619"/>
      <c r="AO304" s="619"/>
      <c r="AP304" s="619"/>
      <c r="AQ304" s="619"/>
      <c r="AR304" s="619"/>
      <c r="AS304" s="619"/>
      <c r="AT304" s="619"/>
      <c r="AU304" s="619"/>
      <c r="AV304" s="619"/>
      <c r="AW304" s="619"/>
      <c r="AX304" s="619"/>
      <c r="AY304" s="619"/>
      <c r="AZ304" s="619"/>
      <c r="BA304" s="619"/>
      <c r="BB304" s="619"/>
      <c r="BC304" s="619"/>
      <c r="BD304" s="619"/>
      <c r="BE304" s="619"/>
      <c r="BF304" s="619"/>
      <c r="BG304" s="619"/>
      <c r="BH304" s="619"/>
      <c r="BI304" s="619"/>
      <c r="BJ304" s="619"/>
      <c r="BK304" s="619"/>
      <c r="BL304" s="619"/>
      <c r="BM304" s="619"/>
      <c r="BN304" s="619"/>
      <c r="BO304" s="619"/>
      <c r="BP304" s="619"/>
      <c r="BQ304" s="619"/>
      <c r="BR304" s="619"/>
      <c r="BS304" s="619"/>
      <c r="BT304" s="619"/>
      <c r="BU304" s="619"/>
      <c r="BV304" s="619"/>
      <c r="BW304" s="619"/>
      <c r="BX304" s="619"/>
      <c r="BY304" s="619"/>
      <c r="BZ304" s="619"/>
      <c r="CA304" s="619"/>
      <c r="CB304" s="619"/>
      <c r="CC304" s="619"/>
      <c r="CD304" s="619"/>
      <c r="CE304" s="619"/>
      <c r="CF304" s="619"/>
      <c r="CG304" s="619"/>
      <c r="CH304" s="619"/>
      <c r="CI304" s="619"/>
      <c r="CJ304" s="619"/>
      <c r="CK304" s="619"/>
      <c r="CL304" s="619"/>
      <c r="CM304" s="619"/>
      <c r="CN304" s="619"/>
      <c r="CO304" s="619"/>
      <c r="CP304" s="619"/>
      <c r="CQ304" s="619"/>
      <c r="CR304" s="619"/>
      <c r="CS304" s="619"/>
      <c r="CT304" s="619"/>
      <c r="CU304" s="619"/>
      <c r="CV304" s="619"/>
      <c r="CW304" s="619"/>
      <c r="CX304" s="619"/>
      <c r="CY304" s="619"/>
      <c r="CZ304" s="619"/>
      <c r="DA304" s="619"/>
      <c r="DB304" s="619"/>
      <c r="DC304" s="619"/>
      <c r="DD304" s="619"/>
      <c r="DE304" s="619"/>
      <c r="DF304" s="619"/>
      <c r="DG304" s="619"/>
      <c r="DH304" s="619"/>
      <c r="DI304" s="619"/>
      <c r="DJ304" s="619"/>
      <c r="DK304" s="619"/>
      <c r="DL304" s="619"/>
      <c r="DM304" s="619"/>
      <c r="DN304" s="619"/>
      <c r="DO304" s="619"/>
      <c r="DP304" s="619"/>
      <c r="DQ304" s="619"/>
    </row>
    <row r="305" spans="1:121" s="687" customFormat="1" ht="24.95" customHeight="1" thickBot="1" x14ac:dyDescent="0.3">
      <c r="A305" s="881">
        <v>230</v>
      </c>
      <c r="B305" s="880">
        <v>6409</v>
      </c>
      <c r="C305" s="879">
        <v>6901</v>
      </c>
      <c r="D305" s="878" t="s">
        <v>275</v>
      </c>
      <c r="E305" s="877" t="s">
        <v>274</v>
      </c>
      <c r="F305" s="649"/>
      <c r="G305" s="650">
        <v>400</v>
      </c>
      <c r="H305" s="650">
        <v>2004</v>
      </c>
      <c r="I305" s="861">
        <v>2022</v>
      </c>
      <c r="J305" s="1192">
        <f t="shared" si="41"/>
        <v>200000</v>
      </c>
      <c r="K305" s="1209">
        <v>0</v>
      </c>
      <c r="L305" s="817">
        <v>0</v>
      </c>
      <c r="M305" s="876">
        <f t="shared" si="40"/>
        <v>20000</v>
      </c>
      <c r="N305" s="875">
        <v>0</v>
      </c>
      <c r="O305" s="874">
        <f>60000-20000-10000-10000</f>
        <v>20000</v>
      </c>
      <c r="P305" s="819">
        <v>0</v>
      </c>
      <c r="Q305" s="820">
        <v>0</v>
      </c>
      <c r="R305" s="818">
        <v>60000</v>
      </c>
      <c r="S305" s="658">
        <v>0</v>
      </c>
      <c r="T305" s="659">
        <v>0</v>
      </c>
      <c r="U305" s="873">
        <v>60000</v>
      </c>
      <c r="V305" s="819">
        <v>0</v>
      </c>
      <c r="W305" s="820">
        <v>0</v>
      </c>
      <c r="X305" s="818">
        <v>60000</v>
      </c>
      <c r="Y305" s="819">
        <v>0</v>
      </c>
      <c r="Z305" s="820">
        <v>0</v>
      </c>
      <c r="AA305" s="1192">
        <v>0</v>
      </c>
      <c r="AB305" s="619"/>
      <c r="AC305" s="619"/>
      <c r="AD305" s="619"/>
      <c r="AE305" s="619"/>
      <c r="AF305" s="619"/>
      <c r="AG305" s="619"/>
      <c r="AH305" s="619"/>
      <c r="AI305" s="619"/>
      <c r="AJ305" s="619"/>
      <c r="AK305" s="619"/>
      <c r="AL305" s="619"/>
      <c r="AM305" s="619"/>
      <c r="AN305" s="619"/>
      <c r="AO305" s="619"/>
      <c r="AP305" s="619"/>
      <c r="AQ305" s="619"/>
      <c r="AR305" s="619"/>
      <c r="AS305" s="619"/>
      <c r="AT305" s="619"/>
      <c r="AU305" s="619"/>
      <c r="AV305" s="619"/>
      <c r="AW305" s="619"/>
      <c r="AX305" s="619"/>
      <c r="AY305" s="619"/>
      <c r="AZ305" s="619"/>
      <c r="BA305" s="619"/>
      <c r="BB305" s="619"/>
      <c r="BC305" s="619"/>
      <c r="BD305" s="619"/>
      <c r="BE305" s="619"/>
      <c r="BF305" s="619"/>
      <c r="BG305" s="619"/>
      <c r="BH305" s="619"/>
      <c r="BI305" s="619"/>
      <c r="BJ305" s="619"/>
      <c r="BK305" s="619"/>
      <c r="BL305" s="619"/>
      <c r="BM305" s="619"/>
      <c r="BN305" s="619"/>
      <c r="BO305" s="619"/>
      <c r="BP305" s="619"/>
      <c r="BQ305" s="619"/>
      <c r="BR305" s="619"/>
      <c r="BS305" s="619"/>
      <c r="BT305" s="619"/>
      <c r="BU305" s="619"/>
      <c r="BV305" s="619"/>
      <c r="BW305" s="619"/>
      <c r="BX305" s="619"/>
      <c r="BY305" s="619"/>
      <c r="BZ305" s="619"/>
      <c r="CA305" s="619"/>
      <c r="CB305" s="619"/>
      <c r="CC305" s="619"/>
      <c r="CD305" s="619"/>
      <c r="CE305" s="619"/>
      <c r="CF305" s="619"/>
      <c r="CG305" s="619"/>
      <c r="CH305" s="619"/>
      <c r="CI305" s="619"/>
      <c r="CJ305" s="619"/>
      <c r="CK305" s="619"/>
      <c r="CL305" s="619"/>
      <c r="CM305" s="619"/>
      <c r="CN305" s="619"/>
      <c r="CO305" s="619"/>
      <c r="CP305" s="619"/>
      <c r="CQ305" s="619"/>
      <c r="CR305" s="619"/>
      <c r="CS305" s="619"/>
      <c r="CT305" s="619"/>
      <c r="CU305" s="619"/>
      <c r="CV305" s="619"/>
      <c r="CW305" s="619"/>
      <c r="CX305" s="619"/>
      <c r="CY305" s="619"/>
      <c r="CZ305" s="619"/>
      <c r="DA305" s="619"/>
      <c r="DB305" s="619"/>
      <c r="DC305" s="619"/>
      <c r="DD305" s="619"/>
      <c r="DE305" s="619"/>
      <c r="DF305" s="619"/>
      <c r="DG305" s="619"/>
      <c r="DH305" s="619"/>
      <c r="DI305" s="619"/>
      <c r="DJ305" s="619"/>
      <c r="DK305" s="619"/>
      <c r="DL305" s="619"/>
      <c r="DM305" s="619"/>
      <c r="DN305" s="619"/>
      <c r="DO305" s="619"/>
      <c r="DP305" s="619"/>
      <c r="DQ305" s="619"/>
    </row>
    <row r="306" spans="1:121" ht="24.95" customHeight="1" thickBot="1" x14ac:dyDescent="0.3">
      <c r="E306" s="1492" t="s">
        <v>84</v>
      </c>
      <c r="F306" s="1492"/>
      <c r="G306" s="1492"/>
      <c r="H306" s="1492"/>
      <c r="I306" s="1492"/>
      <c r="J306" s="1492"/>
      <c r="K306" s="1492"/>
      <c r="L306" s="1492"/>
      <c r="M306" s="101">
        <f t="shared" ref="M306:AA306" si="42">SUM(M101:M305)</f>
        <v>1034289</v>
      </c>
      <c r="N306" s="102">
        <f t="shared" si="42"/>
        <v>469592</v>
      </c>
      <c r="O306" s="102">
        <f t="shared" si="42"/>
        <v>443378</v>
      </c>
      <c r="P306" s="102">
        <f t="shared" si="42"/>
        <v>72300</v>
      </c>
      <c r="Q306" s="102">
        <f t="shared" si="42"/>
        <v>49019</v>
      </c>
      <c r="R306" s="102">
        <f t="shared" si="42"/>
        <v>1690922</v>
      </c>
      <c r="S306" s="102">
        <f t="shared" si="42"/>
        <v>32000</v>
      </c>
      <c r="T306" s="102">
        <f t="shared" si="42"/>
        <v>258454</v>
      </c>
      <c r="U306" s="102">
        <f t="shared" si="42"/>
        <v>2204430</v>
      </c>
      <c r="V306" s="102">
        <f t="shared" si="42"/>
        <v>143343</v>
      </c>
      <c r="W306" s="102">
        <f t="shared" si="42"/>
        <v>207380</v>
      </c>
      <c r="X306" s="102">
        <f t="shared" si="42"/>
        <v>2328197</v>
      </c>
      <c r="Y306" s="102">
        <f t="shared" si="42"/>
        <v>1651480</v>
      </c>
      <c r="Z306" s="1175">
        <f t="shared" si="42"/>
        <v>119200</v>
      </c>
      <c r="AA306" s="1202">
        <f t="shared" si="42"/>
        <v>2925163</v>
      </c>
    </row>
    <row r="307" spans="1:121" ht="24.95" customHeight="1" thickBot="1" x14ac:dyDescent="0.3">
      <c r="E307" s="1492" t="s">
        <v>58</v>
      </c>
      <c r="F307" s="1492"/>
      <c r="G307" s="1492"/>
      <c r="H307" s="1492"/>
      <c r="I307" s="1492"/>
      <c r="J307" s="1492"/>
      <c r="K307" s="1492"/>
      <c r="L307" s="1493"/>
      <c r="M307" s="37">
        <v>106512</v>
      </c>
      <c r="N307" s="38">
        <v>42352</v>
      </c>
      <c r="O307" s="38">
        <v>64160</v>
      </c>
      <c r="P307" s="38">
        <v>0</v>
      </c>
      <c r="Q307" s="38">
        <v>0</v>
      </c>
      <c r="R307" s="38">
        <v>69604</v>
      </c>
      <c r="S307" s="38">
        <v>0</v>
      </c>
      <c r="T307" s="38">
        <v>0</v>
      </c>
      <c r="U307" s="38">
        <v>69470</v>
      </c>
      <c r="V307" s="38">
        <v>0</v>
      </c>
      <c r="W307" s="38">
        <v>0</v>
      </c>
      <c r="X307" s="38">
        <v>77000</v>
      </c>
      <c r="Y307" s="38">
        <v>0</v>
      </c>
      <c r="Z307" s="1176">
        <v>0</v>
      </c>
      <c r="AA307" s="1203">
        <v>210000</v>
      </c>
    </row>
    <row r="308" spans="1:121" ht="24.95" customHeight="1" thickBot="1" x14ac:dyDescent="0.3">
      <c r="E308" s="1492" t="s">
        <v>59</v>
      </c>
      <c r="F308" s="1492"/>
      <c r="G308" s="1492"/>
      <c r="H308" s="1492"/>
      <c r="I308" s="1492"/>
      <c r="J308" s="1492"/>
      <c r="K308" s="1492"/>
      <c r="L308" s="1492"/>
      <c r="M308" s="37">
        <v>543565</v>
      </c>
      <c r="N308" s="35">
        <v>200669</v>
      </c>
      <c r="O308" s="35">
        <v>295200</v>
      </c>
      <c r="P308" s="35">
        <v>47696</v>
      </c>
      <c r="Q308" s="35">
        <v>0</v>
      </c>
      <c r="R308" s="35">
        <v>409321</v>
      </c>
      <c r="S308" s="35">
        <v>31424</v>
      </c>
      <c r="T308" s="35">
        <v>0</v>
      </c>
      <c r="U308" s="35">
        <v>415783</v>
      </c>
      <c r="V308" s="35">
        <v>31000</v>
      </c>
      <c r="W308" s="35">
        <v>0</v>
      </c>
      <c r="X308" s="35">
        <v>410278</v>
      </c>
      <c r="Y308" s="35">
        <v>31000</v>
      </c>
      <c r="Z308" s="1177">
        <v>0</v>
      </c>
      <c r="AA308" s="1204">
        <v>411655</v>
      </c>
    </row>
    <row r="309" spans="1:121" ht="24.95" customHeight="1" thickBot="1" x14ac:dyDescent="0.3">
      <c r="E309" s="1492" t="s">
        <v>35</v>
      </c>
      <c r="F309" s="1492"/>
      <c r="G309" s="1492"/>
      <c r="H309" s="1492"/>
      <c r="I309" s="1492"/>
      <c r="J309" s="1492"/>
      <c r="K309" s="1492"/>
      <c r="L309" s="1493"/>
      <c r="M309" s="22">
        <f t="shared" ref="M309:AA309" si="43">SUM(M306:M308)</f>
        <v>1684366</v>
      </c>
      <c r="N309" s="22">
        <f t="shared" si="43"/>
        <v>712613</v>
      </c>
      <c r="O309" s="22">
        <f t="shared" si="43"/>
        <v>802738</v>
      </c>
      <c r="P309" s="22">
        <f t="shared" si="43"/>
        <v>119996</v>
      </c>
      <c r="Q309" s="22">
        <f t="shared" si="43"/>
        <v>49019</v>
      </c>
      <c r="R309" s="22">
        <f t="shared" si="43"/>
        <v>2169847</v>
      </c>
      <c r="S309" s="22">
        <f t="shared" si="43"/>
        <v>63424</v>
      </c>
      <c r="T309" s="22">
        <f t="shared" si="43"/>
        <v>258454</v>
      </c>
      <c r="U309" s="22">
        <f t="shared" si="43"/>
        <v>2689683</v>
      </c>
      <c r="V309" s="22">
        <f t="shared" si="43"/>
        <v>174343</v>
      </c>
      <c r="W309" s="22">
        <f t="shared" si="43"/>
        <v>207380</v>
      </c>
      <c r="X309" s="22">
        <f t="shared" si="43"/>
        <v>2815475</v>
      </c>
      <c r="Y309" s="22">
        <f t="shared" si="43"/>
        <v>1682480</v>
      </c>
      <c r="Z309" s="1173">
        <f t="shared" si="43"/>
        <v>119200</v>
      </c>
      <c r="AA309" s="1187">
        <f t="shared" si="43"/>
        <v>3546818</v>
      </c>
    </row>
    <row r="310" spans="1:121" ht="24.95" customHeight="1" thickBot="1" x14ac:dyDescent="0.25"/>
    <row r="311" spans="1:121" s="816" customFormat="1" ht="24.95" customHeight="1" thickBot="1" x14ac:dyDescent="0.3">
      <c r="A311" s="801">
        <v>270</v>
      </c>
      <c r="B311" s="802">
        <v>5311</v>
      </c>
      <c r="C311" s="803">
        <v>6123</v>
      </c>
      <c r="D311" s="804"/>
      <c r="E311" s="805" t="s">
        <v>265</v>
      </c>
      <c r="F311" s="806"/>
      <c r="G311" s="807">
        <v>426</v>
      </c>
      <c r="H311" s="808">
        <v>2019</v>
      </c>
      <c r="I311" s="809">
        <v>2022</v>
      </c>
      <c r="J311" s="671">
        <f>K311+L311+M311+SUM(R311:AA311)</f>
        <v>3600</v>
      </c>
      <c r="K311" s="810">
        <v>0</v>
      </c>
      <c r="L311" s="811">
        <v>0</v>
      </c>
      <c r="M311" s="674">
        <f>N311+O311+P311+Q311</f>
        <v>0</v>
      </c>
      <c r="N311" s="812">
        <v>0</v>
      </c>
      <c r="O311" s="813">
        <f>4200-4200</f>
        <v>0</v>
      </c>
      <c r="P311" s="681">
        <v>0</v>
      </c>
      <c r="Q311" s="814">
        <v>0</v>
      </c>
      <c r="R311" s="815">
        <v>1200</v>
      </c>
      <c r="S311" s="681">
        <v>0</v>
      </c>
      <c r="T311" s="814">
        <v>0</v>
      </c>
      <c r="U311" s="680">
        <v>1200</v>
      </c>
      <c r="V311" s="681">
        <v>0</v>
      </c>
      <c r="W311" s="811">
        <v>0</v>
      </c>
      <c r="X311" s="815">
        <v>1200</v>
      </c>
      <c r="Y311" s="681">
        <v>0</v>
      </c>
      <c r="Z311" s="814">
        <v>0</v>
      </c>
      <c r="AA311" s="1207">
        <v>0</v>
      </c>
      <c r="AB311" s="619"/>
      <c r="AC311" s="619"/>
      <c r="AD311" s="619"/>
      <c r="AE311" s="619"/>
      <c r="AF311" s="619"/>
      <c r="AG311" s="619"/>
      <c r="AH311" s="619"/>
      <c r="AI311" s="619"/>
      <c r="AJ311" s="619"/>
      <c r="AK311" s="619"/>
      <c r="AL311" s="619"/>
      <c r="AM311" s="619"/>
      <c r="AN311" s="619"/>
      <c r="AO311" s="619"/>
      <c r="AP311" s="619"/>
      <c r="AQ311" s="619"/>
      <c r="AR311" s="619"/>
      <c r="AS311" s="619"/>
      <c r="AT311" s="619"/>
      <c r="AU311" s="619"/>
      <c r="AV311" s="619"/>
      <c r="AW311" s="619"/>
      <c r="AX311" s="619"/>
      <c r="AY311" s="619"/>
      <c r="AZ311" s="619"/>
      <c r="BA311" s="619"/>
      <c r="BB311" s="619"/>
      <c r="BC311" s="619"/>
      <c r="BD311" s="619"/>
      <c r="BE311" s="619"/>
      <c r="BF311" s="619"/>
      <c r="BG311" s="619"/>
      <c r="BH311" s="619"/>
      <c r="BI311" s="619"/>
      <c r="BJ311" s="619"/>
      <c r="BK311" s="619"/>
      <c r="BL311" s="619"/>
      <c r="BM311" s="619"/>
      <c r="BN311" s="619"/>
      <c r="BO311" s="619"/>
      <c r="BP311" s="619"/>
      <c r="BQ311" s="619"/>
      <c r="BR311" s="619"/>
      <c r="BS311" s="619"/>
      <c r="BT311" s="619"/>
      <c r="BU311" s="619"/>
      <c r="BV311" s="619"/>
      <c r="BW311" s="619"/>
      <c r="BX311" s="619"/>
      <c r="BY311" s="619"/>
      <c r="BZ311" s="619"/>
      <c r="CA311" s="619"/>
      <c r="CB311" s="619"/>
      <c r="CC311" s="619"/>
      <c r="CD311" s="619"/>
      <c r="CE311" s="619"/>
      <c r="CF311" s="619"/>
      <c r="CG311" s="619"/>
      <c r="CH311" s="619"/>
      <c r="CI311" s="619"/>
      <c r="CJ311" s="619"/>
      <c r="CK311" s="619"/>
      <c r="CL311" s="619"/>
      <c r="CM311" s="619"/>
      <c r="CN311" s="619"/>
      <c r="CO311" s="619"/>
      <c r="CP311" s="619"/>
      <c r="CQ311" s="619"/>
      <c r="CR311" s="619"/>
      <c r="CS311" s="619"/>
      <c r="CT311" s="619"/>
      <c r="CU311" s="619"/>
      <c r="CV311" s="619"/>
      <c r="CW311" s="619"/>
      <c r="CX311" s="619"/>
      <c r="CY311" s="619"/>
      <c r="CZ311" s="619"/>
      <c r="DA311" s="619"/>
      <c r="DB311" s="619"/>
      <c r="DC311" s="619"/>
      <c r="DD311" s="619"/>
      <c r="DE311" s="619"/>
      <c r="DF311" s="619"/>
      <c r="DG311" s="619"/>
      <c r="DH311" s="619"/>
      <c r="DI311" s="619"/>
      <c r="DJ311" s="619"/>
      <c r="DK311" s="619"/>
      <c r="DL311" s="619"/>
      <c r="DM311" s="619"/>
      <c r="DN311" s="619"/>
      <c r="DO311" s="619"/>
      <c r="DP311" s="619"/>
      <c r="DQ311" s="619"/>
    </row>
    <row r="312" spans="1:121" ht="24.95" customHeight="1" thickBot="1" x14ac:dyDescent="0.3">
      <c r="E312" s="1492" t="s">
        <v>32</v>
      </c>
      <c r="F312" s="1492"/>
      <c r="G312" s="1492"/>
      <c r="H312" s="1492"/>
      <c r="I312" s="1492"/>
      <c r="J312" s="1492"/>
      <c r="K312" s="1492"/>
      <c r="L312" s="1492"/>
      <c r="M312" s="101">
        <f>SUM(M311:M311)</f>
        <v>0</v>
      </c>
      <c r="N312" s="101">
        <f t="shared" ref="N312:AA312" si="44">SUM(N311:N311)</f>
        <v>0</v>
      </c>
      <c r="O312" s="101">
        <f t="shared" si="44"/>
        <v>0</v>
      </c>
      <c r="P312" s="101">
        <f t="shared" si="44"/>
        <v>0</v>
      </c>
      <c r="Q312" s="101">
        <f t="shared" si="44"/>
        <v>0</v>
      </c>
      <c r="R312" s="101">
        <f t="shared" si="44"/>
        <v>1200</v>
      </c>
      <c r="S312" s="101">
        <f t="shared" si="44"/>
        <v>0</v>
      </c>
      <c r="T312" s="101">
        <f t="shared" si="44"/>
        <v>0</v>
      </c>
      <c r="U312" s="101">
        <f t="shared" si="44"/>
        <v>1200</v>
      </c>
      <c r="V312" s="101">
        <f t="shared" si="44"/>
        <v>0</v>
      </c>
      <c r="W312" s="101">
        <f t="shared" si="44"/>
        <v>0</v>
      </c>
      <c r="X312" s="101">
        <f t="shared" si="44"/>
        <v>1200</v>
      </c>
      <c r="Y312" s="101">
        <f t="shared" si="44"/>
        <v>0</v>
      </c>
      <c r="Z312" s="101">
        <f t="shared" si="44"/>
        <v>0</v>
      </c>
      <c r="AA312" s="1202">
        <f t="shared" si="44"/>
        <v>0</v>
      </c>
    </row>
    <row r="313" spans="1:121" ht="24.95" customHeight="1" thickBot="1" x14ac:dyDescent="0.25"/>
    <row r="314" spans="1:121" s="506" customFormat="1" ht="24.95" customHeight="1" x14ac:dyDescent="0.25">
      <c r="A314" s="485">
        <v>300</v>
      </c>
      <c r="B314" s="486">
        <v>2219</v>
      </c>
      <c r="C314" s="487"/>
      <c r="D314" s="1331"/>
      <c r="E314" s="1332" t="s">
        <v>223</v>
      </c>
      <c r="F314" s="1333"/>
      <c r="G314" s="1334">
        <v>400</v>
      </c>
      <c r="H314" s="1335">
        <v>2016</v>
      </c>
      <c r="I314" s="1336">
        <v>2022</v>
      </c>
      <c r="J314" s="1337">
        <f>K314+L314+M314+SUM(R314:AA314)</f>
        <v>2466</v>
      </c>
      <c r="K314" s="1338">
        <v>0</v>
      </c>
      <c r="L314" s="1339">
        <v>206</v>
      </c>
      <c r="M314" s="1340">
        <f>N314+O314+P314+Q314</f>
        <v>2260</v>
      </c>
      <c r="N314" s="1341">
        <v>0</v>
      </c>
      <c r="O314" s="1342">
        <v>2260</v>
      </c>
      <c r="P314" s="1343">
        <v>0</v>
      </c>
      <c r="Q314" s="1344">
        <v>0</v>
      </c>
      <c r="R314" s="1345">
        <v>0</v>
      </c>
      <c r="S314" s="1346">
        <v>0</v>
      </c>
      <c r="T314" s="1344">
        <v>0</v>
      </c>
      <c r="U314" s="1345">
        <v>0</v>
      </c>
      <c r="V314" s="1346">
        <v>0</v>
      </c>
      <c r="W314" s="1344">
        <v>0</v>
      </c>
      <c r="X314" s="1347">
        <v>0</v>
      </c>
      <c r="Y314" s="1346">
        <v>0</v>
      </c>
      <c r="Z314" s="1344">
        <v>0</v>
      </c>
      <c r="AA314" s="1337">
        <v>0</v>
      </c>
      <c r="AB314" s="480"/>
      <c r="AC314" s="480"/>
      <c r="AD314" s="480"/>
      <c r="AE314" s="480"/>
      <c r="AF314" s="480"/>
      <c r="AG314" s="480"/>
      <c r="AH314" s="480"/>
      <c r="AI314" s="480"/>
      <c r="AJ314" s="480"/>
      <c r="AK314" s="480"/>
      <c r="AL314" s="480"/>
      <c r="AM314" s="480"/>
      <c r="AN314" s="480"/>
      <c r="AO314" s="480"/>
      <c r="AP314" s="480"/>
      <c r="AQ314" s="480"/>
      <c r="AR314" s="480"/>
      <c r="AS314" s="480"/>
      <c r="AT314" s="480"/>
      <c r="AU314" s="480"/>
      <c r="AV314" s="480"/>
      <c r="AW314" s="480"/>
      <c r="AX314" s="480"/>
      <c r="AY314" s="480"/>
      <c r="AZ314" s="480"/>
      <c r="BA314" s="480"/>
      <c r="BB314" s="480"/>
      <c r="BC314" s="480"/>
      <c r="BD314" s="480"/>
      <c r="BE314" s="480"/>
      <c r="BF314" s="480"/>
      <c r="BG314" s="480"/>
      <c r="BH314" s="480"/>
      <c r="BI314" s="480"/>
      <c r="BJ314" s="480"/>
      <c r="BK314" s="480"/>
      <c r="BL314" s="480"/>
      <c r="BM314" s="480"/>
      <c r="BN314" s="480"/>
      <c r="BO314" s="480"/>
      <c r="BP314" s="480"/>
      <c r="BQ314" s="480"/>
      <c r="BR314" s="480"/>
      <c r="BS314" s="480"/>
      <c r="BT314" s="480"/>
      <c r="BU314" s="480"/>
      <c r="BV314" s="480"/>
      <c r="BW314" s="480"/>
      <c r="BX314" s="480"/>
      <c r="BY314" s="480"/>
      <c r="BZ314" s="480"/>
      <c r="CA314" s="480"/>
      <c r="CB314" s="480"/>
      <c r="CC314" s="480"/>
      <c r="CD314" s="480"/>
      <c r="CE314" s="480"/>
      <c r="CF314" s="480"/>
      <c r="CG314" s="480"/>
      <c r="CH314" s="480"/>
      <c r="CI314" s="480"/>
      <c r="CJ314" s="480"/>
      <c r="CK314" s="480"/>
      <c r="CL314" s="480"/>
      <c r="CM314" s="480"/>
      <c r="CN314" s="480"/>
      <c r="CO314" s="480"/>
      <c r="CP314" s="480"/>
      <c r="CQ314" s="480"/>
      <c r="CR314" s="480"/>
      <c r="CS314" s="480"/>
      <c r="CT314" s="480"/>
      <c r="CU314" s="480"/>
      <c r="CV314" s="480"/>
      <c r="CW314" s="480"/>
      <c r="CX314" s="480"/>
      <c r="CY314" s="480"/>
      <c r="CZ314" s="480"/>
      <c r="DA314" s="480"/>
      <c r="DB314" s="480"/>
      <c r="DC314" s="480"/>
      <c r="DD314" s="480"/>
      <c r="DE314" s="480"/>
      <c r="DF314" s="480"/>
      <c r="DG314" s="480"/>
      <c r="DH314" s="480"/>
      <c r="DI314" s="480"/>
      <c r="DJ314" s="480"/>
      <c r="DK314" s="480"/>
      <c r="DL314" s="480"/>
      <c r="DM314" s="480"/>
      <c r="DN314" s="480"/>
      <c r="DO314" s="480"/>
      <c r="DP314" s="480"/>
      <c r="DQ314" s="480"/>
    </row>
    <row r="315" spans="1:121" s="803" customFormat="1" ht="24.95" customHeight="1" thickBot="1" x14ac:dyDescent="0.3">
      <c r="A315" s="801">
        <v>300</v>
      </c>
      <c r="B315" s="802">
        <v>3639</v>
      </c>
      <c r="C315" s="858"/>
      <c r="D315" s="647"/>
      <c r="E315" s="859" t="s">
        <v>258</v>
      </c>
      <c r="F315" s="860"/>
      <c r="G315" s="650">
        <v>400</v>
      </c>
      <c r="H315" s="650">
        <v>2018</v>
      </c>
      <c r="I315" s="861">
        <v>2019</v>
      </c>
      <c r="J315" s="589">
        <f>K315+L315+M315+SUM(R315:AA315)</f>
        <v>37500</v>
      </c>
      <c r="K315" s="790">
        <v>0</v>
      </c>
      <c r="L315" s="595">
        <v>0</v>
      </c>
      <c r="M315" s="592">
        <f>N315+O315+P315+Q315</f>
        <v>37500</v>
      </c>
      <c r="N315" s="791">
        <v>0</v>
      </c>
      <c r="O315" s="862">
        <f>35000-10000-10000+3257</f>
        <v>18257</v>
      </c>
      <c r="P315" s="594">
        <v>12500</v>
      </c>
      <c r="Q315" s="1072">
        <f>10000-3257</f>
        <v>6743</v>
      </c>
      <c r="R315" s="596">
        <v>0</v>
      </c>
      <c r="S315" s="654">
        <v>0</v>
      </c>
      <c r="T315" s="595">
        <v>0</v>
      </c>
      <c r="U315" s="863">
        <v>0</v>
      </c>
      <c r="V315" s="594">
        <v>0</v>
      </c>
      <c r="W315" s="595">
        <v>0</v>
      </c>
      <c r="X315" s="864">
        <v>0</v>
      </c>
      <c r="Y315" s="594">
        <v>0</v>
      </c>
      <c r="Z315" s="595">
        <v>0</v>
      </c>
      <c r="AA315" s="1188">
        <v>0</v>
      </c>
      <c r="AB315" s="25"/>
      <c r="AC315" s="25"/>
      <c r="AD315" s="25"/>
      <c r="AE315" s="25"/>
      <c r="AF315" s="25"/>
      <c r="AG315" s="25"/>
      <c r="AH315" s="25"/>
      <c r="AI315" s="25"/>
      <c r="AJ315" s="25"/>
      <c r="AK315" s="25"/>
      <c r="AL315" s="25"/>
      <c r="AM315" s="25"/>
      <c r="AN315" s="25"/>
      <c r="AO315" s="25"/>
      <c r="AP315" s="25"/>
      <c r="AQ315" s="25"/>
      <c r="AR315" s="25"/>
      <c r="AS315" s="25"/>
      <c r="AT315" s="25"/>
      <c r="AU315" s="25"/>
      <c r="AV315" s="25"/>
      <c r="AW315" s="25"/>
      <c r="AX315" s="25"/>
      <c r="AY315" s="25"/>
      <c r="AZ315" s="25"/>
      <c r="BA315" s="25"/>
      <c r="BB315" s="25"/>
      <c r="BC315" s="25"/>
      <c r="BD315" s="25"/>
      <c r="BE315" s="25"/>
      <c r="BF315" s="25"/>
      <c r="BG315" s="25"/>
      <c r="BH315" s="25"/>
      <c r="BI315" s="25"/>
      <c r="BJ315" s="25"/>
      <c r="BK315" s="25"/>
      <c r="BL315" s="25"/>
      <c r="BM315" s="25"/>
      <c r="BN315" s="25"/>
      <c r="BO315" s="25"/>
      <c r="BP315" s="25"/>
      <c r="BQ315" s="25"/>
      <c r="BR315" s="25"/>
      <c r="BS315" s="25"/>
      <c r="BT315" s="25"/>
      <c r="BU315" s="25"/>
      <c r="BV315" s="25"/>
      <c r="BW315" s="25"/>
      <c r="BX315" s="25"/>
      <c r="BY315" s="25"/>
      <c r="BZ315" s="25"/>
      <c r="CA315" s="25"/>
      <c r="CB315" s="25"/>
      <c r="CC315" s="25"/>
      <c r="CD315" s="25"/>
      <c r="CE315" s="25"/>
      <c r="CF315" s="25"/>
      <c r="CG315" s="25"/>
      <c r="CH315" s="25"/>
      <c r="CI315" s="25"/>
      <c r="CJ315" s="25"/>
      <c r="CK315" s="25"/>
      <c r="CL315" s="25"/>
      <c r="CM315" s="25"/>
      <c r="CN315" s="25"/>
      <c r="CO315" s="25"/>
      <c r="CP315" s="25"/>
      <c r="CQ315" s="25"/>
      <c r="CR315" s="25"/>
      <c r="CS315" s="25"/>
      <c r="CT315" s="25"/>
      <c r="CU315" s="25"/>
      <c r="CV315" s="25"/>
      <c r="CW315" s="25"/>
      <c r="CX315" s="25"/>
      <c r="CY315" s="25"/>
      <c r="CZ315" s="25"/>
      <c r="DA315" s="25"/>
      <c r="DB315" s="25"/>
      <c r="DC315" s="25"/>
      <c r="DD315" s="25"/>
      <c r="DE315" s="25"/>
      <c r="DF315" s="25"/>
      <c r="DG315" s="25"/>
      <c r="DH315" s="25"/>
      <c r="DI315" s="25"/>
      <c r="DJ315" s="25"/>
      <c r="DK315" s="25"/>
      <c r="DL315" s="25"/>
      <c r="DM315" s="25"/>
      <c r="DN315" s="25"/>
      <c r="DO315" s="25"/>
      <c r="DP315" s="25"/>
      <c r="DQ315" s="25"/>
    </row>
    <row r="316" spans="1:121" ht="24.95" customHeight="1" thickBot="1" x14ac:dyDescent="0.3">
      <c r="E316" s="1492" t="s">
        <v>31</v>
      </c>
      <c r="F316" s="1492"/>
      <c r="G316" s="1492"/>
      <c r="H316" s="1492"/>
      <c r="I316" s="1492"/>
      <c r="J316" s="1492"/>
      <c r="K316" s="1492"/>
      <c r="L316" s="1492"/>
      <c r="M316" s="36">
        <f>SUM(M314:M315)</f>
        <v>39760</v>
      </c>
      <c r="N316" s="36">
        <f t="shared" ref="N316:AA316" si="45">SUM(N314:N315)</f>
        <v>0</v>
      </c>
      <c r="O316" s="36">
        <f t="shared" si="45"/>
        <v>20517</v>
      </c>
      <c r="P316" s="36">
        <f t="shared" si="45"/>
        <v>12500</v>
      </c>
      <c r="Q316" s="36">
        <f t="shared" si="45"/>
        <v>6743</v>
      </c>
      <c r="R316" s="36">
        <f t="shared" si="45"/>
        <v>0</v>
      </c>
      <c r="S316" s="36">
        <f t="shared" si="45"/>
        <v>0</v>
      </c>
      <c r="T316" s="36">
        <f t="shared" si="45"/>
        <v>0</v>
      </c>
      <c r="U316" s="36">
        <f t="shared" si="45"/>
        <v>0</v>
      </c>
      <c r="V316" s="36">
        <f t="shared" si="45"/>
        <v>0</v>
      </c>
      <c r="W316" s="36">
        <f t="shared" si="45"/>
        <v>0</v>
      </c>
      <c r="X316" s="36">
        <f t="shared" si="45"/>
        <v>0</v>
      </c>
      <c r="Y316" s="36">
        <f t="shared" si="45"/>
        <v>0</v>
      </c>
      <c r="Z316" s="36">
        <f t="shared" si="45"/>
        <v>0</v>
      </c>
      <c r="AA316" s="36">
        <f t="shared" si="45"/>
        <v>0</v>
      </c>
    </row>
  </sheetData>
  <mergeCells count="45">
    <mergeCell ref="E316:L316"/>
    <mergeCell ref="E312:L312"/>
    <mergeCell ref="E99:L99"/>
    <mergeCell ref="E93:L93"/>
    <mergeCell ref="E79:L79"/>
    <mergeCell ref="E306:L306"/>
    <mergeCell ref="E307:L307"/>
    <mergeCell ref="E308:L308"/>
    <mergeCell ref="E309:L309"/>
    <mergeCell ref="E86:L86"/>
    <mergeCell ref="E82:L82"/>
    <mergeCell ref="Q7:Q8"/>
    <mergeCell ref="R7:T7"/>
    <mergeCell ref="K7:K8"/>
    <mergeCell ref="E68:L68"/>
    <mergeCell ref="E43:L43"/>
    <mergeCell ref="E46:L46"/>
    <mergeCell ref="E56:L56"/>
    <mergeCell ref="E32:L32"/>
    <mergeCell ref="E52:L52"/>
    <mergeCell ref="E38:L38"/>
    <mergeCell ref="E59:L59"/>
    <mergeCell ref="E49:L49"/>
    <mergeCell ref="E35:L35"/>
    <mergeCell ref="B7:B8"/>
    <mergeCell ref="C7:C8"/>
    <mergeCell ref="D7:D8"/>
    <mergeCell ref="H7:H8"/>
    <mergeCell ref="I7:I8"/>
    <mergeCell ref="E1:AA1"/>
    <mergeCell ref="E6:E8"/>
    <mergeCell ref="F6:F8"/>
    <mergeCell ref="G6:G8"/>
    <mergeCell ref="H6:I6"/>
    <mergeCell ref="J6:J8"/>
    <mergeCell ref="N6:Q6"/>
    <mergeCell ref="R6:Z6"/>
    <mergeCell ref="AA6:AA8"/>
    <mergeCell ref="L7:L8"/>
    <mergeCell ref="U7:W7"/>
    <mergeCell ref="X7:Z7"/>
    <mergeCell ref="M7:M8"/>
    <mergeCell ref="N7:N8"/>
    <mergeCell ref="O7:O8"/>
    <mergeCell ref="P7:P8"/>
  </mergeCells>
  <pageMargins left="0.51181102362204722" right="0.11811023622047245" top="0.74803149606299213" bottom="0.74803149606299213" header="0.31496062992125984" footer="0.31496062992125984"/>
  <pageSetup paperSize="9" scale="45" fitToHeight="0" orientation="landscape" r:id="rId1"/>
  <rowBreaks count="8" manualBreakCount="8">
    <brk id="43" min="3" max="26" man="1"/>
    <brk id="79" min="3" max="26" man="1"/>
    <brk id="116" min="3" max="26" man="1"/>
    <brk id="152" min="3" max="26" man="1"/>
    <brk id="188" min="3" max="26" man="1"/>
    <brk id="224" min="3" max="26" man="1"/>
    <brk id="260" min="3" max="26" man="1"/>
    <brk id="296" min="3" max="26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P54"/>
  <sheetViews>
    <sheetView zoomScaleNormal="100" zoomScaleSheetLayoutView="70" workbookViewId="0">
      <pane xSplit="8" ySplit="9" topLeftCell="I28" activePane="bottomRight" state="frozen"/>
      <selection activeCell="O47" sqref="O47"/>
      <selection pane="topRight" activeCell="O47" sqref="O47"/>
      <selection pane="bottomLeft" activeCell="O47" sqref="O47"/>
      <selection pane="bottomRight" activeCell="N3" sqref="N3"/>
    </sheetView>
  </sheetViews>
  <sheetFormatPr defaultRowHeight="12.75" x14ac:dyDescent="0.2"/>
  <cols>
    <col min="1" max="1" width="6.28515625" style="293" hidden="1" customWidth="1"/>
    <col min="2" max="2" width="8.140625" style="293" hidden="1" customWidth="1"/>
    <col min="3" max="3" width="6.7109375" style="293" customWidth="1"/>
    <col min="4" max="4" width="46.7109375" customWidth="1"/>
    <col min="5" max="6" width="4.28515625" customWidth="1"/>
    <col min="7" max="7" width="5.85546875" customWidth="1"/>
    <col min="8" max="8" width="5.5703125" customWidth="1"/>
    <col min="9" max="9" width="13.5703125" customWidth="1"/>
    <col min="10" max="26" width="10.7109375" customWidth="1"/>
    <col min="257" max="258" width="0" hidden="1" customWidth="1"/>
    <col min="259" max="259" width="6.7109375" customWidth="1"/>
    <col min="260" max="260" width="46.7109375" customWidth="1"/>
    <col min="261" max="262" width="4.28515625" customWidth="1"/>
    <col min="263" max="263" width="5.85546875" customWidth="1"/>
    <col min="264" max="264" width="5.5703125" customWidth="1"/>
    <col min="265" max="265" width="13.5703125" customWidth="1"/>
    <col min="266" max="282" width="10.7109375" customWidth="1"/>
    <col min="513" max="514" width="0" hidden="1" customWidth="1"/>
    <col min="515" max="515" width="6.7109375" customWidth="1"/>
    <col min="516" max="516" width="46.7109375" customWidth="1"/>
    <col min="517" max="518" width="4.28515625" customWidth="1"/>
    <col min="519" max="519" width="5.85546875" customWidth="1"/>
    <col min="520" max="520" width="5.5703125" customWidth="1"/>
    <col min="521" max="521" width="13.5703125" customWidth="1"/>
    <col min="522" max="538" width="10.7109375" customWidth="1"/>
    <col min="769" max="770" width="0" hidden="1" customWidth="1"/>
    <col min="771" max="771" width="6.7109375" customWidth="1"/>
    <col min="772" max="772" width="46.7109375" customWidth="1"/>
    <col min="773" max="774" width="4.28515625" customWidth="1"/>
    <col min="775" max="775" width="5.85546875" customWidth="1"/>
    <col min="776" max="776" width="5.5703125" customWidth="1"/>
    <col min="777" max="777" width="13.5703125" customWidth="1"/>
    <col min="778" max="794" width="10.7109375" customWidth="1"/>
    <col min="1025" max="1026" width="0" hidden="1" customWidth="1"/>
    <col min="1027" max="1027" width="6.7109375" customWidth="1"/>
    <col min="1028" max="1028" width="46.7109375" customWidth="1"/>
    <col min="1029" max="1030" width="4.28515625" customWidth="1"/>
    <col min="1031" max="1031" width="5.85546875" customWidth="1"/>
    <col min="1032" max="1032" width="5.5703125" customWidth="1"/>
    <col min="1033" max="1033" width="13.5703125" customWidth="1"/>
    <col min="1034" max="1050" width="10.7109375" customWidth="1"/>
    <col min="1281" max="1282" width="0" hidden="1" customWidth="1"/>
    <col min="1283" max="1283" width="6.7109375" customWidth="1"/>
    <col min="1284" max="1284" width="46.7109375" customWidth="1"/>
    <col min="1285" max="1286" width="4.28515625" customWidth="1"/>
    <col min="1287" max="1287" width="5.85546875" customWidth="1"/>
    <col min="1288" max="1288" width="5.5703125" customWidth="1"/>
    <col min="1289" max="1289" width="13.5703125" customWidth="1"/>
    <col min="1290" max="1306" width="10.7109375" customWidth="1"/>
    <col min="1537" max="1538" width="0" hidden="1" customWidth="1"/>
    <col min="1539" max="1539" width="6.7109375" customWidth="1"/>
    <col min="1540" max="1540" width="46.7109375" customWidth="1"/>
    <col min="1541" max="1542" width="4.28515625" customWidth="1"/>
    <col min="1543" max="1543" width="5.85546875" customWidth="1"/>
    <col min="1544" max="1544" width="5.5703125" customWidth="1"/>
    <col min="1545" max="1545" width="13.5703125" customWidth="1"/>
    <col min="1546" max="1562" width="10.7109375" customWidth="1"/>
    <col min="1793" max="1794" width="0" hidden="1" customWidth="1"/>
    <col min="1795" max="1795" width="6.7109375" customWidth="1"/>
    <col min="1796" max="1796" width="46.7109375" customWidth="1"/>
    <col min="1797" max="1798" width="4.28515625" customWidth="1"/>
    <col min="1799" max="1799" width="5.85546875" customWidth="1"/>
    <col min="1800" max="1800" width="5.5703125" customWidth="1"/>
    <col min="1801" max="1801" width="13.5703125" customWidth="1"/>
    <col min="1802" max="1818" width="10.7109375" customWidth="1"/>
    <col min="2049" max="2050" width="0" hidden="1" customWidth="1"/>
    <col min="2051" max="2051" width="6.7109375" customWidth="1"/>
    <col min="2052" max="2052" width="46.7109375" customWidth="1"/>
    <col min="2053" max="2054" width="4.28515625" customWidth="1"/>
    <col min="2055" max="2055" width="5.85546875" customWidth="1"/>
    <col min="2056" max="2056" width="5.5703125" customWidth="1"/>
    <col min="2057" max="2057" width="13.5703125" customWidth="1"/>
    <col min="2058" max="2074" width="10.7109375" customWidth="1"/>
    <col min="2305" max="2306" width="0" hidden="1" customWidth="1"/>
    <col min="2307" max="2307" width="6.7109375" customWidth="1"/>
    <col min="2308" max="2308" width="46.7109375" customWidth="1"/>
    <col min="2309" max="2310" width="4.28515625" customWidth="1"/>
    <col min="2311" max="2311" width="5.85546875" customWidth="1"/>
    <col min="2312" max="2312" width="5.5703125" customWidth="1"/>
    <col min="2313" max="2313" width="13.5703125" customWidth="1"/>
    <col min="2314" max="2330" width="10.7109375" customWidth="1"/>
    <col min="2561" max="2562" width="0" hidden="1" customWidth="1"/>
    <col min="2563" max="2563" width="6.7109375" customWidth="1"/>
    <col min="2564" max="2564" width="46.7109375" customWidth="1"/>
    <col min="2565" max="2566" width="4.28515625" customWidth="1"/>
    <col min="2567" max="2567" width="5.85546875" customWidth="1"/>
    <col min="2568" max="2568" width="5.5703125" customWidth="1"/>
    <col min="2569" max="2569" width="13.5703125" customWidth="1"/>
    <col min="2570" max="2586" width="10.7109375" customWidth="1"/>
    <col min="2817" max="2818" width="0" hidden="1" customWidth="1"/>
    <col min="2819" max="2819" width="6.7109375" customWidth="1"/>
    <col min="2820" max="2820" width="46.7109375" customWidth="1"/>
    <col min="2821" max="2822" width="4.28515625" customWidth="1"/>
    <col min="2823" max="2823" width="5.85546875" customWidth="1"/>
    <col min="2824" max="2824" width="5.5703125" customWidth="1"/>
    <col min="2825" max="2825" width="13.5703125" customWidth="1"/>
    <col min="2826" max="2842" width="10.7109375" customWidth="1"/>
    <col min="3073" max="3074" width="0" hidden="1" customWidth="1"/>
    <col min="3075" max="3075" width="6.7109375" customWidth="1"/>
    <col min="3076" max="3076" width="46.7109375" customWidth="1"/>
    <col min="3077" max="3078" width="4.28515625" customWidth="1"/>
    <col min="3079" max="3079" width="5.85546875" customWidth="1"/>
    <col min="3080" max="3080" width="5.5703125" customWidth="1"/>
    <col min="3081" max="3081" width="13.5703125" customWidth="1"/>
    <col min="3082" max="3098" width="10.7109375" customWidth="1"/>
    <col min="3329" max="3330" width="0" hidden="1" customWidth="1"/>
    <col min="3331" max="3331" width="6.7109375" customWidth="1"/>
    <col min="3332" max="3332" width="46.7109375" customWidth="1"/>
    <col min="3333" max="3334" width="4.28515625" customWidth="1"/>
    <col min="3335" max="3335" width="5.85546875" customWidth="1"/>
    <col min="3336" max="3336" width="5.5703125" customWidth="1"/>
    <col min="3337" max="3337" width="13.5703125" customWidth="1"/>
    <col min="3338" max="3354" width="10.7109375" customWidth="1"/>
    <col min="3585" max="3586" width="0" hidden="1" customWidth="1"/>
    <col min="3587" max="3587" width="6.7109375" customWidth="1"/>
    <col min="3588" max="3588" width="46.7109375" customWidth="1"/>
    <col min="3589" max="3590" width="4.28515625" customWidth="1"/>
    <col min="3591" max="3591" width="5.85546875" customWidth="1"/>
    <col min="3592" max="3592" width="5.5703125" customWidth="1"/>
    <col min="3593" max="3593" width="13.5703125" customWidth="1"/>
    <col min="3594" max="3610" width="10.7109375" customWidth="1"/>
    <col min="3841" max="3842" width="0" hidden="1" customWidth="1"/>
    <col min="3843" max="3843" width="6.7109375" customWidth="1"/>
    <col min="3844" max="3844" width="46.7109375" customWidth="1"/>
    <col min="3845" max="3846" width="4.28515625" customWidth="1"/>
    <col min="3847" max="3847" width="5.85546875" customWidth="1"/>
    <col min="3848" max="3848" width="5.5703125" customWidth="1"/>
    <col min="3849" max="3849" width="13.5703125" customWidth="1"/>
    <col min="3850" max="3866" width="10.7109375" customWidth="1"/>
    <col min="4097" max="4098" width="0" hidden="1" customWidth="1"/>
    <col min="4099" max="4099" width="6.7109375" customWidth="1"/>
    <col min="4100" max="4100" width="46.7109375" customWidth="1"/>
    <col min="4101" max="4102" width="4.28515625" customWidth="1"/>
    <col min="4103" max="4103" width="5.85546875" customWidth="1"/>
    <col min="4104" max="4104" width="5.5703125" customWidth="1"/>
    <col min="4105" max="4105" width="13.5703125" customWidth="1"/>
    <col min="4106" max="4122" width="10.7109375" customWidth="1"/>
    <col min="4353" max="4354" width="0" hidden="1" customWidth="1"/>
    <col min="4355" max="4355" width="6.7109375" customWidth="1"/>
    <col min="4356" max="4356" width="46.7109375" customWidth="1"/>
    <col min="4357" max="4358" width="4.28515625" customWidth="1"/>
    <col min="4359" max="4359" width="5.85546875" customWidth="1"/>
    <col min="4360" max="4360" width="5.5703125" customWidth="1"/>
    <col min="4361" max="4361" width="13.5703125" customWidth="1"/>
    <col min="4362" max="4378" width="10.7109375" customWidth="1"/>
    <col min="4609" max="4610" width="0" hidden="1" customWidth="1"/>
    <col min="4611" max="4611" width="6.7109375" customWidth="1"/>
    <col min="4612" max="4612" width="46.7109375" customWidth="1"/>
    <col min="4613" max="4614" width="4.28515625" customWidth="1"/>
    <col min="4615" max="4615" width="5.85546875" customWidth="1"/>
    <col min="4616" max="4616" width="5.5703125" customWidth="1"/>
    <col min="4617" max="4617" width="13.5703125" customWidth="1"/>
    <col min="4618" max="4634" width="10.7109375" customWidth="1"/>
    <col min="4865" max="4866" width="0" hidden="1" customWidth="1"/>
    <col min="4867" max="4867" width="6.7109375" customWidth="1"/>
    <col min="4868" max="4868" width="46.7109375" customWidth="1"/>
    <col min="4869" max="4870" width="4.28515625" customWidth="1"/>
    <col min="4871" max="4871" width="5.85546875" customWidth="1"/>
    <col min="4872" max="4872" width="5.5703125" customWidth="1"/>
    <col min="4873" max="4873" width="13.5703125" customWidth="1"/>
    <col min="4874" max="4890" width="10.7109375" customWidth="1"/>
    <col min="5121" max="5122" width="0" hidden="1" customWidth="1"/>
    <col min="5123" max="5123" width="6.7109375" customWidth="1"/>
    <col min="5124" max="5124" width="46.7109375" customWidth="1"/>
    <col min="5125" max="5126" width="4.28515625" customWidth="1"/>
    <col min="5127" max="5127" width="5.85546875" customWidth="1"/>
    <col min="5128" max="5128" width="5.5703125" customWidth="1"/>
    <col min="5129" max="5129" width="13.5703125" customWidth="1"/>
    <col min="5130" max="5146" width="10.7109375" customWidth="1"/>
    <col min="5377" max="5378" width="0" hidden="1" customWidth="1"/>
    <col min="5379" max="5379" width="6.7109375" customWidth="1"/>
    <col min="5380" max="5380" width="46.7109375" customWidth="1"/>
    <col min="5381" max="5382" width="4.28515625" customWidth="1"/>
    <col min="5383" max="5383" width="5.85546875" customWidth="1"/>
    <col min="5384" max="5384" width="5.5703125" customWidth="1"/>
    <col min="5385" max="5385" width="13.5703125" customWidth="1"/>
    <col min="5386" max="5402" width="10.7109375" customWidth="1"/>
    <col min="5633" max="5634" width="0" hidden="1" customWidth="1"/>
    <col min="5635" max="5635" width="6.7109375" customWidth="1"/>
    <col min="5636" max="5636" width="46.7109375" customWidth="1"/>
    <col min="5637" max="5638" width="4.28515625" customWidth="1"/>
    <col min="5639" max="5639" width="5.85546875" customWidth="1"/>
    <col min="5640" max="5640" width="5.5703125" customWidth="1"/>
    <col min="5641" max="5641" width="13.5703125" customWidth="1"/>
    <col min="5642" max="5658" width="10.7109375" customWidth="1"/>
    <col min="5889" max="5890" width="0" hidden="1" customWidth="1"/>
    <col min="5891" max="5891" width="6.7109375" customWidth="1"/>
    <col min="5892" max="5892" width="46.7109375" customWidth="1"/>
    <col min="5893" max="5894" width="4.28515625" customWidth="1"/>
    <col min="5895" max="5895" width="5.85546875" customWidth="1"/>
    <col min="5896" max="5896" width="5.5703125" customWidth="1"/>
    <col min="5897" max="5897" width="13.5703125" customWidth="1"/>
    <col min="5898" max="5914" width="10.7109375" customWidth="1"/>
    <col min="6145" max="6146" width="0" hidden="1" customWidth="1"/>
    <col min="6147" max="6147" width="6.7109375" customWidth="1"/>
    <col min="6148" max="6148" width="46.7109375" customWidth="1"/>
    <col min="6149" max="6150" width="4.28515625" customWidth="1"/>
    <col min="6151" max="6151" width="5.85546875" customWidth="1"/>
    <col min="6152" max="6152" width="5.5703125" customWidth="1"/>
    <col min="6153" max="6153" width="13.5703125" customWidth="1"/>
    <col min="6154" max="6170" width="10.7109375" customWidth="1"/>
    <col min="6401" max="6402" width="0" hidden="1" customWidth="1"/>
    <col min="6403" max="6403" width="6.7109375" customWidth="1"/>
    <col min="6404" max="6404" width="46.7109375" customWidth="1"/>
    <col min="6405" max="6406" width="4.28515625" customWidth="1"/>
    <col min="6407" max="6407" width="5.85546875" customWidth="1"/>
    <col min="6408" max="6408" width="5.5703125" customWidth="1"/>
    <col min="6409" max="6409" width="13.5703125" customWidth="1"/>
    <col min="6410" max="6426" width="10.7109375" customWidth="1"/>
    <col min="6657" max="6658" width="0" hidden="1" customWidth="1"/>
    <col min="6659" max="6659" width="6.7109375" customWidth="1"/>
    <col min="6660" max="6660" width="46.7109375" customWidth="1"/>
    <col min="6661" max="6662" width="4.28515625" customWidth="1"/>
    <col min="6663" max="6663" width="5.85546875" customWidth="1"/>
    <col min="6664" max="6664" width="5.5703125" customWidth="1"/>
    <col min="6665" max="6665" width="13.5703125" customWidth="1"/>
    <col min="6666" max="6682" width="10.7109375" customWidth="1"/>
    <col min="6913" max="6914" width="0" hidden="1" customWidth="1"/>
    <col min="6915" max="6915" width="6.7109375" customWidth="1"/>
    <col min="6916" max="6916" width="46.7109375" customWidth="1"/>
    <col min="6917" max="6918" width="4.28515625" customWidth="1"/>
    <col min="6919" max="6919" width="5.85546875" customWidth="1"/>
    <col min="6920" max="6920" width="5.5703125" customWidth="1"/>
    <col min="6921" max="6921" width="13.5703125" customWidth="1"/>
    <col min="6922" max="6938" width="10.7109375" customWidth="1"/>
    <col min="7169" max="7170" width="0" hidden="1" customWidth="1"/>
    <col min="7171" max="7171" width="6.7109375" customWidth="1"/>
    <col min="7172" max="7172" width="46.7109375" customWidth="1"/>
    <col min="7173" max="7174" width="4.28515625" customWidth="1"/>
    <col min="7175" max="7175" width="5.85546875" customWidth="1"/>
    <col min="7176" max="7176" width="5.5703125" customWidth="1"/>
    <col min="7177" max="7177" width="13.5703125" customWidth="1"/>
    <col min="7178" max="7194" width="10.7109375" customWidth="1"/>
    <col min="7425" max="7426" width="0" hidden="1" customWidth="1"/>
    <col min="7427" max="7427" width="6.7109375" customWidth="1"/>
    <col min="7428" max="7428" width="46.7109375" customWidth="1"/>
    <col min="7429" max="7430" width="4.28515625" customWidth="1"/>
    <col min="7431" max="7431" width="5.85546875" customWidth="1"/>
    <col min="7432" max="7432" width="5.5703125" customWidth="1"/>
    <col min="7433" max="7433" width="13.5703125" customWidth="1"/>
    <col min="7434" max="7450" width="10.7109375" customWidth="1"/>
    <col min="7681" max="7682" width="0" hidden="1" customWidth="1"/>
    <col min="7683" max="7683" width="6.7109375" customWidth="1"/>
    <col min="7684" max="7684" width="46.7109375" customWidth="1"/>
    <col min="7685" max="7686" width="4.28515625" customWidth="1"/>
    <col min="7687" max="7687" width="5.85546875" customWidth="1"/>
    <col min="7688" max="7688" width="5.5703125" customWidth="1"/>
    <col min="7689" max="7689" width="13.5703125" customWidth="1"/>
    <col min="7690" max="7706" width="10.7109375" customWidth="1"/>
    <col min="7937" max="7938" width="0" hidden="1" customWidth="1"/>
    <col min="7939" max="7939" width="6.7109375" customWidth="1"/>
    <col min="7940" max="7940" width="46.7109375" customWidth="1"/>
    <col min="7941" max="7942" width="4.28515625" customWidth="1"/>
    <col min="7943" max="7943" width="5.85546875" customWidth="1"/>
    <col min="7944" max="7944" width="5.5703125" customWidth="1"/>
    <col min="7945" max="7945" width="13.5703125" customWidth="1"/>
    <col min="7946" max="7962" width="10.7109375" customWidth="1"/>
    <col min="8193" max="8194" width="0" hidden="1" customWidth="1"/>
    <col min="8195" max="8195" width="6.7109375" customWidth="1"/>
    <col min="8196" max="8196" width="46.7109375" customWidth="1"/>
    <col min="8197" max="8198" width="4.28515625" customWidth="1"/>
    <col min="8199" max="8199" width="5.85546875" customWidth="1"/>
    <col min="8200" max="8200" width="5.5703125" customWidth="1"/>
    <col min="8201" max="8201" width="13.5703125" customWidth="1"/>
    <col min="8202" max="8218" width="10.7109375" customWidth="1"/>
    <col min="8449" max="8450" width="0" hidden="1" customWidth="1"/>
    <col min="8451" max="8451" width="6.7109375" customWidth="1"/>
    <col min="8452" max="8452" width="46.7109375" customWidth="1"/>
    <col min="8453" max="8454" width="4.28515625" customWidth="1"/>
    <col min="8455" max="8455" width="5.85546875" customWidth="1"/>
    <col min="8456" max="8456" width="5.5703125" customWidth="1"/>
    <col min="8457" max="8457" width="13.5703125" customWidth="1"/>
    <col min="8458" max="8474" width="10.7109375" customWidth="1"/>
    <col min="8705" max="8706" width="0" hidden="1" customWidth="1"/>
    <col min="8707" max="8707" width="6.7109375" customWidth="1"/>
    <col min="8708" max="8708" width="46.7109375" customWidth="1"/>
    <col min="8709" max="8710" width="4.28515625" customWidth="1"/>
    <col min="8711" max="8711" width="5.85546875" customWidth="1"/>
    <col min="8712" max="8712" width="5.5703125" customWidth="1"/>
    <col min="8713" max="8713" width="13.5703125" customWidth="1"/>
    <col min="8714" max="8730" width="10.7109375" customWidth="1"/>
    <col min="8961" max="8962" width="0" hidden="1" customWidth="1"/>
    <col min="8963" max="8963" width="6.7109375" customWidth="1"/>
    <col min="8964" max="8964" width="46.7109375" customWidth="1"/>
    <col min="8965" max="8966" width="4.28515625" customWidth="1"/>
    <col min="8967" max="8967" width="5.85546875" customWidth="1"/>
    <col min="8968" max="8968" width="5.5703125" customWidth="1"/>
    <col min="8969" max="8969" width="13.5703125" customWidth="1"/>
    <col min="8970" max="8986" width="10.7109375" customWidth="1"/>
    <col min="9217" max="9218" width="0" hidden="1" customWidth="1"/>
    <col min="9219" max="9219" width="6.7109375" customWidth="1"/>
    <col min="9220" max="9220" width="46.7109375" customWidth="1"/>
    <col min="9221" max="9222" width="4.28515625" customWidth="1"/>
    <col min="9223" max="9223" width="5.85546875" customWidth="1"/>
    <col min="9224" max="9224" width="5.5703125" customWidth="1"/>
    <col min="9225" max="9225" width="13.5703125" customWidth="1"/>
    <col min="9226" max="9242" width="10.7109375" customWidth="1"/>
    <col min="9473" max="9474" width="0" hidden="1" customWidth="1"/>
    <col min="9475" max="9475" width="6.7109375" customWidth="1"/>
    <col min="9476" max="9476" width="46.7109375" customWidth="1"/>
    <col min="9477" max="9478" width="4.28515625" customWidth="1"/>
    <col min="9479" max="9479" width="5.85546875" customWidth="1"/>
    <col min="9480" max="9480" width="5.5703125" customWidth="1"/>
    <col min="9481" max="9481" width="13.5703125" customWidth="1"/>
    <col min="9482" max="9498" width="10.7109375" customWidth="1"/>
    <col min="9729" max="9730" width="0" hidden="1" customWidth="1"/>
    <col min="9731" max="9731" width="6.7109375" customWidth="1"/>
    <col min="9732" max="9732" width="46.7109375" customWidth="1"/>
    <col min="9733" max="9734" width="4.28515625" customWidth="1"/>
    <col min="9735" max="9735" width="5.85546875" customWidth="1"/>
    <col min="9736" max="9736" width="5.5703125" customWidth="1"/>
    <col min="9737" max="9737" width="13.5703125" customWidth="1"/>
    <col min="9738" max="9754" width="10.7109375" customWidth="1"/>
    <col min="9985" max="9986" width="0" hidden="1" customWidth="1"/>
    <col min="9987" max="9987" width="6.7109375" customWidth="1"/>
    <col min="9988" max="9988" width="46.7109375" customWidth="1"/>
    <col min="9989" max="9990" width="4.28515625" customWidth="1"/>
    <col min="9991" max="9991" width="5.85546875" customWidth="1"/>
    <col min="9992" max="9992" width="5.5703125" customWidth="1"/>
    <col min="9993" max="9993" width="13.5703125" customWidth="1"/>
    <col min="9994" max="10010" width="10.7109375" customWidth="1"/>
    <col min="10241" max="10242" width="0" hidden="1" customWidth="1"/>
    <col min="10243" max="10243" width="6.7109375" customWidth="1"/>
    <col min="10244" max="10244" width="46.7109375" customWidth="1"/>
    <col min="10245" max="10246" width="4.28515625" customWidth="1"/>
    <col min="10247" max="10247" width="5.85546875" customWidth="1"/>
    <col min="10248" max="10248" width="5.5703125" customWidth="1"/>
    <col min="10249" max="10249" width="13.5703125" customWidth="1"/>
    <col min="10250" max="10266" width="10.7109375" customWidth="1"/>
    <col min="10497" max="10498" width="0" hidden="1" customWidth="1"/>
    <col min="10499" max="10499" width="6.7109375" customWidth="1"/>
    <col min="10500" max="10500" width="46.7109375" customWidth="1"/>
    <col min="10501" max="10502" width="4.28515625" customWidth="1"/>
    <col min="10503" max="10503" width="5.85546875" customWidth="1"/>
    <col min="10504" max="10504" width="5.5703125" customWidth="1"/>
    <col min="10505" max="10505" width="13.5703125" customWidth="1"/>
    <col min="10506" max="10522" width="10.7109375" customWidth="1"/>
    <col min="10753" max="10754" width="0" hidden="1" customWidth="1"/>
    <col min="10755" max="10755" width="6.7109375" customWidth="1"/>
    <col min="10756" max="10756" width="46.7109375" customWidth="1"/>
    <col min="10757" max="10758" width="4.28515625" customWidth="1"/>
    <col min="10759" max="10759" width="5.85546875" customWidth="1"/>
    <col min="10760" max="10760" width="5.5703125" customWidth="1"/>
    <col min="10761" max="10761" width="13.5703125" customWidth="1"/>
    <col min="10762" max="10778" width="10.7109375" customWidth="1"/>
    <col min="11009" max="11010" width="0" hidden="1" customWidth="1"/>
    <col min="11011" max="11011" width="6.7109375" customWidth="1"/>
    <col min="11012" max="11012" width="46.7109375" customWidth="1"/>
    <col min="11013" max="11014" width="4.28515625" customWidth="1"/>
    <col min="11015" max="11015" width="5.85546875" customWidth="1"/>
    <col min="11016" max="11016" width="5.5703125" customWidth="1"/>
    <col min="11017" max="11017" width="13.5703125" customWidth="1"/>
    <col min="11018" max="11034" width="10.7109375" customWidth="1"/>
    <col min="11265" max="11266" width="0" hidden="1" customWidth="1"/>
    <col min="11267" max="11267" width="6.7109375" customWidth="1"/>
    <col min="11268" max="11268" width="46.7109375" customWidth="1"/>
    <col min="11269" max="11270" width="4.28515625" customWidth="1"/>
    <col min="11271" max="11271" width="5.85546875" customWidth="1"/>
    <col min="11272" max="11272" width="5.5703125" customWidth="1"/>
    <col min="11273" max="11273" width="13.5703125" customWidth="1"/>
    <col min="11274" max="11290" width="10.7109375" customWidth="1"/>
    <col min="11521" max="11522" width="0" hidden="1" customWidth="1"/>
    <col min="11523" max="11523" width="6.7109375" customWidth="1"/>
    <col min="11524" max="11524" width="46.7109375" customWidth="1"/>
    <col min="11525" max="11526" width="4.28515625" customWidth="1"/>
    <col min="11527" max="11527" width="5.85546875" customWidth="1"/>
    <col min="11528" max="11528" width="5.5703125" customWidth="1"/>
    <col min="11529" max="11529" width="13.5703125" customWidth="1"/>
    <col min="11530" max="11546" width="10.7109375" customWidth="1"/>
    <col min="11777" max="11778" width="0" hidden="1" customWidth="1"/>
    <col min="11779" max="11779" width="6.7109375" customWidth="1"/>
    <col min="11780" max="11780" width="46.7109375" customWidth="1"/>
    <col min="11781" max="11782" width="4.28515625" customWidth="1"/>
    <col min="11783" max="11783" width="5.85546875" customWidth="1"/>
    <col min="11784" max="11784" width="5.5703125" customWidth="1"/>
    <col min="11785" max="11785" width="13.5703125" customWidth="1"/>
    <col min="11786" max="11802" width="10.7109375" customWidth="1"/>
    <col min="12033" max="12034" width="0" hidden="1" customWidth="1"/>
    <col min="12035" max="12035" width="6.7109375" customWidth="1"/>
    <col min="12036" max="12036" width="46.7109375" customWidth="1"/>
    <col min="12037" max="12038" width="4.28515625" customWidth="1"/>
    <col min="12039" max="12039" width="5.85546875" customWidth="1"/>
    <col min="12040" max="12040" width="5.5703125" customWidth="1"/>
    <col min="12041" max="12041" width="13.5703125" customWidth="1"/>
    <col min="12042" max="12058" width="10.7109375" customWidth="1"/>
    <col min="12289" max="12290" width="0" hidden="1" customWidth="1"/>
    <col min="12291" max="12291" width="6.7109375" customWidth="1"/>
    <col min="12292" max="12292" width="46.7109375" customWidth="1"/>
    <col min="12293" max="12294" width="4.28515625" customWidth="1"/>
    <col min="12295" max="12295" width="5.85546875" customWidth="1"/>
    <col min="12296" max="12296" width="5.5703125" customWidth="1"/>
    <col min="12297" max="12297" width="13.5703125" customWidth="1"/>
    <col min="12298" max="12314" width="10.7109375" customWidth="1"/>
    <col min="12545" max="12546" width="0" hidden="1" customWidth="1"/>
    <col min="12547" max="12547" width="6.7109375" customWidth="1"/>
    <col min="12548" max="12548" width="46.7109375" customWidth="1"/>
    <col min="12549" max="12550" width="4.28515625" customWidth="1"/>
    <col min="12551" max="12551" width="5.85546875" customWidth="1"/>
    <col min="12552" max="12552" width="5.5703125" customWidth="1"/>
    <col min="12553" max="12553" width="13.5703125" customWidth="1"/>
    <col min="12554" max="12570" width="10.7109375" customWidth="1"/>
    <col min="12801" max="12802" width="0" hidden="1" customWidth="1"/>
    <col min="12803" max="12803" width="6.7109375" customWidth="1"/>
    <col min="12804" max="12804" width="46.7109375" customWidth="1"/>
    <col min="12805" max="12806" width="4.28515625" customWidth="1"/>
    <col min="12807" max="12807" width="5.85546875" customWidth="1"/>
    <col min="12808" max="12808" width="5.5703125" customWidth="1"/>
    <col min="12809" max="12809" width="13.5703125" customWidth="1"/>
    <col min="12810" max="12826" width="10.7109375" customWidth="1"/>
    <col min="13057" max="13058" width="0" hidden="1" customWidth="1"/>
    <col min="13059" max="13059" width="6.7109375" customWidth="1"/>
    <col min="13060" max="13060" width="46.7109375" customWidth="1"/>
    <col min="13061" max="13062" width="4.28515625" customWidth="1"/>
    <col min="13063" max="13063" width="5.85546875" customWidth="1"/>
    <col min="13064" max="13064" width="5.5703125" customWidth="1"/>
    <col min="13065" max="13065" width="13.5703125" customWidth="1"/>
    <col min="13066" max="13082" width="10.7109375" customWidth="1"/>
    <col min="13313" max="13314" width="0" hidden="1" customWidth="1"/>
    <col min="13315" max="13315" width="6.7109375" customWidth="1"/>
    <col min="13316" max="13316" width="46.7109375" customWidth="1"/>
    <col min="13317" max="13318" width="4.28515625" customWidth="1"/>
    <col min="13319" max="13319" width="5.85546875" customWidth="1"/>
    <col min="13320" max="13320" width="5.5703125" customWidth="1"/>
    <col min="13321" max="13321" width="13.5703125" customWidth="1"/>
    <col min="13322" max="13338" width="10.7109375" customWidth="1"/>
    <col min="13569" max="13570" width="0" hidden="1" customWidth="1"/>
    <col min="13571" max="13571" width="6.7109375" customWidth="1"/>
    <col min="13572" max="13572" width="46.7109375" customWidth="1"/>
    <col min="13573" max="13574" width="4.28515625" customWidth="1"/>
    <col min="13575" max="13575" width="5.85546875" customWidth="1"/>
    <col min="13576" max="13576" width="5.5703125" customWidth="1"/>
    <col min="13577" max="13577" width="13.5703125" customWidth="1"/>
    <col min="13578" max="13594" width="10.7109375" customWidth="1"/>
    <col min="13825" max="13826" width="0" hidden="1" customWidth="1"/>
    <col min="13827" max="13827" width="6.7109375" customWidth="1"/>
    <col min="13828" max="13828" width="46.7109375" customWidth="1"/>
    <col min="13829" max="13830" width="4.28515625" customWidth="1"/>
    <col min="13831" max="13831" width="5.85546875" customWidth="1"/>
    <col min="13832" max="13832" width="5.5703125" customWidth="1"/>
    <col min="13833" max="13833" width="13.5703125" customWidth="1"/>
    <col min="13834" max="13850" width="10.7109375" customWidth="1"/>
    <col min="14081" max="14082" width="0" hidden="1" customWidth="1"/>
    <col min="14083" max="14083" width="6.7109375" customWidth="1"/>
    <col min="14084" max="14084" width="46.7109375" customWidth="1"/>
    <col min="14085" max="14086" width="4.28515625" customWidth="1"/>
    <col min="14087" max="14087" width="5.85546875" customWidth="1"/>
    <col min="14088" max="14088" width="5.5703125" customWidth="1"/>
    <col min="14089" max="14089" width="13.5703125" customWidth="1"/>
    <col min="14090" max="14106" width="10.7109375" customWidth="1"/>
    <col min="14337" max="14338" width="0" hidden="1" customWidth="1"/>
    <col min="14339" max="14339" width="6.7109375" customWidth="1"/>
    <col min="14340" max="14340" width="46.7109375" customWidth="1"/>
    <col min="14341" max="14342" width="4.28515625" customWidth="1"/>
    <col min="14343" max="14343" width="5.85546875" customWidth="1"/>
    <col min="14344" max="14344" width="5.5703125" customWidth="1"/>
    <col min="14345" max="14345" width="13.5703125" customWidth="1"/>
    <col min="14346" max="14362" width="10.7109375" customWidth="1"/>
    <col min="14593" max="14594" width="0" hidden="1" customWidth="1"/>
    <col min="14595" max="14595" width="6.7109375" customWidth="1"/>
    <col min="14596" max="14596" width="46.7109375" customWidth="1"/>
    <col min="14597" max="14598" width="4.28515625" customWidth="1"/>
    <col min="14599" max="14599" width="5.85546875" customWidth="1"/>
    <col min="14600" max="14600" width="5.5703125" customWidth="1"/>
    <col min="14601" max="14601" width="13.5703125" customWidth="1"/>
    <col min="14602" max="14618" width="10.7109375" customWidth="1"/>
    <col min="14849" max="14850" width="0" hidden="1" customWidth="1"/>
    <col min="14851" max="14851" width="6.7109375" customWidth="1"/>
    <col min="14852" max="14852" width="46.7109375" customWidth="1"/>
    <col min="14853" max="14854" width="4.28515625" customWidth="1"/>
    <col min="14855" max="14855" width="5.85546875" customWidth="1"/>
    <col min="14856" max="14856" width="5.5703125" customWidth="1"/>
    <col min="14857" max="14857" width="13.5703125" customWidth="1"/>
    <col min="14858" max="14874" width="10.7109375" customWidth="1"/>
    <col min="15105" max="15106" width="0" hidden="1" customWidth="1"/>
    <col min="15107" max="15107" width="6.7109375" customWidth="1"/>
    <col min="15108" max="15108" width="46.7109375" customWidth="1"/>
    <col min="15109" max="15110" width="4.28515625" customWidth="1"/>
    <col min="15111" max="15111" width="5.85546875" customWidth="1"/>
    <col min="15112" max="15112" width="5.5703125" customWidth="1"/>
    <col min="15113" max="15113" width="13.5703125" customWidth="1"/>
    <col min="15114" max="15130" width="10.7109375" customWidth="1"/>
    <col min="15361" max="15362" width="0" hidden="1" customWidth="1"/>
    <col min="15363" max="15363" width="6.7109375" customWidth="1"/>
    <col min="15364" max="15364" width="46.7109375" customWidth="1"/>
    <col min="15365" max="15366" width="4.28515625" customWidth="1"/>
    <col min="15367" max="15367" width="5.85546875" customWidth="1"/>
    <col min="15368" max="15368" width="5.5703125" customWidth="1"/>
    <col min="15369" max="15369" width="13.5703125" customWidth="1"/>
    <col min="15370" max="15386" width="10.7109375" customWidth="1"/>
    <col min="15617" max="15618" width="0" hidden="1" customWidth="1"/>
    <col min="15619" max="15619" width="6.7109375" customWidth="1"/>
    <col min="15620" max="15620" width="46.7109375" customWidth="1"/>
    <col min="15621" max="15622" width="4.28515625" customWidth="1"/>
    <col min="15623" max="15623" width="5.85546875" customWidth="1"/>
    <col min="15624" max="15624" width="5.5703125" customWidth="1"/>
    <col min="15625" max="15625" width="13.5703125" customWidth="1"/>
    <col min="15626" max="15642" width="10.7109375" customWidth="1"/>
    <col min="15873" max="15874" width="0" hidden="1" customWidth="1"/>
    <col min="15875" max="15875" width="6.7109375" customWidth="1"/>
    <col min="15876" max="15876" width="46.7109375" customWidth="1"/>
    <col min="15877" max="15878" width="4.28515625" customWidth="1"/>
    <col min="15879" max="15879" width="5.85546875" customWidth="1"/>
    <col min="15880" max="15880" width="5.5703125" customWidth="1"/>
    <col min="15881" max="15881" width="13.5703125" customWidth="1"/>
    <col min="15882" max="15898" width="10.7109375" customWidth="1"/>
    <col min="16129" max="16130" width="0" hidden="1" customWidth="1"/>
    <col min="16131" max="16131" width="6.7109375" customWidth="1"/>
    <col min="16132" max="16132" width="46.7109375" customWidth="1"/>
    <col min="16133" max="16134" width="4.28515625" customWidth="1"/>
    <col min="16135" max="16135" width="5.85546875" customWidth="1"/>
    <col min="16136" max="16136" width="5.5703125" customWidth="1"/>
    <col min="16137" max="16137" width="13.5703125" customWidth="1"/>
    <col min="16138" max="16154" width="10.7109375" customWidth="1"/>
  </cols>
  <sheetData>
    <row r="1" spans="1:42" ht="41.25" customHeight="1" x14ac:dyDescent="0.4">
      <c r="A1" s="1"/>
      <c r="B1" s="145"/>
      <c r="C1" s="146"/>
      <c r="D1" s="1494" t="s">
        <v>517</v>
      </c>
      <c r="E1" s="1494"/>
      <c r="F1" s="1494"/>
      <c r="G1" s="1494"/>
      <c r="H1" s="1494"/>
      <c r="I1" s="1494"/>
      <c r="J1" s="1494"/>
      <c r="K1" s="1494"/>
      <c r="L1" s="1494"/>
      <c r="M1" s="1494"/>
      <c r="N1" s="1494"/>
      <c r="O1" s="1494"/>
      <c r="P1" s="1494"/>
      <c r="Q1" s="1494"/>
      <c r="R1" s="1494"/>
      <c r="S1" s="1494"/>
      <c r="T1" s="1494"/>
      <c r="U1" s="1494"/>
      <c r="V1" s="1494"/>
      <c r="W1" s="1494"/>
      <c r="X1" s="1494"/>
      <c r="Y1" s="1494"/>
      <c r="Z1" s="1494"/>
    </row>
    <row r="2" spans="1:42" s="125" customFormat="1" ht="28.5" customHeight="1" x14ac:dyDescent="0.4">
      <c r="A2" s="147"/>
      <c r="B2" s="148"/>
      <c r="C2" s="148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</row>
    <row r="3" spans="1:42" s="125" customFormat="1" ht="28.5" customHeight="1" x14ac:dyDescent="0.4">
      <c r="A3" s="147"/>
      <c r="B3" s="148"/>
      <c r="C3" s="148"/>
      <c r="D3" s="150" t="s">
        <v>0</v>
      </c>
      <c r="E3" s="151"/>
      <c r="F3" s="152"/>
      <c r="G3" s="153"/>
      <c r="H3" s="153"/>
      <c r="I3" s="154" t="s">
        <v>1</v>
      </c>
      <c r="J3" s="32"/>
      <c r="K3" s="32"/>
      <c r="L3" s="32"/>
      <c r="M3" s="155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</row>
    <row r="4" spans="1:42" s="125" customFormat="1" ht="28.5" customHeight="1" x14ac:dyDescent="0.4">
      <c r="A4" s="147"/>
      <c r="B4" s="148"/>
      <c r="C4" s="148"/>
      <c r="D4" s="150"/>
      <c r="E4" s="151"/>
      <c r="F4" s="156"/>
      <c r="G4" s="153"/>
      <c r="H4" s="153"/>
      <c r="I4" s="154" t="s">
        <v>60</v>
      </c>
      <c r="J4" s="32"/>
      <c r="K4" s="32"/>
      <c r="L4" s="32"/>
      <c r="M4" s="155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73"/>
    </row>
    <row r="5" spans="1:42" s="125" customFormat="1" ht="28.5" customHeight="1" thickBot="1" x14ac:dyDescent="0.25">
      <c r="A5" s="157"/>
      <c r="B5" s="157"/>
      <c r="C5" s="157"/>
      <c r="I5" s="158" t="s">
        <v>61</v>
      </c>
      <c r="J5" s="158" t="s">
        <v>62</v>
      </c>
      <c r="K5" s="158" t="s">
        <v>63</v>
      </c>
      <c r="L5" s="158" t="s">
        <v>64</v>
      </c>
      <c r="M5" s="158" t="s">
        <v>65</v>
      </c>
      <c r="N5" s="158" t="s">
        <v>66</v>
      </c>
      <c r="O5" s="159" t="s">
        <v>67</v>
      </c>
      <c r="P5" s="159" t="s">
        <v>68</v>
      </c>
      <c r="Q5" s="159" t="s">
        <v>69</v>
      </c>
      <c r="R5" s="159" t="s">
        <v>70</v>
      </c>
      <c r="S5" s="159" t="s">
        <v>71</v>
      </c>
      <c r="T5" s="159" t="s">
        <v>72</v>
      </c>
      <c r="U5" s="159" t="s">
        <v>73</v>
      </c>
      <c r="V5" s="159" t="s">
        <v>74</v>
      </c>
      <c r="W5" s="159" t="s">
        <v>75</v>
      </c>
      <c r="X5" s="158" t="s">
        <v>76</v>
      </c>
      <c r="Y5" s="158" t="s">
        <v>77</v>
      </c>
      <c r="Z5" s="158" t="s">
        <v>78</v>
      </c>
    </row>
    <row r="6" spans="1:42" s="125" customFormat="1" ht="28.5" customHeight="1" thickBot="1" x14ac:dyDescent="0.25">
      <c r="A6" s="160"/>
      <c r="B6" s="160"/>
      <c r="C6" s="1495" t="s">
        <v>14</v>
      </c>
      <c r="D6" s="1496" t="s">
        <v>4</v>
      </c>
      <c r="E6" s="1497" t="s">
        <v>5</v>
      </c>
      <c r="F6" s="1498" t="s">
        <v>6</v>
      </c>
      <c r="G6" s="1499" t="s">
        <v>7</v>
      </c>
      <c r="H6" s="1499"/>
      <c r="I6" s="1500" t="s">
        <v>8</v>
      </c>
      <c r="J6" s="161" t="s">
        <v>9</v>
      </c>
      <c r="K6" s="161" t="s">
        <v>10</v>
      </c>
      <c r="L6" s="162" t="s">
        <v>11</v>
      </c>
      <c r="M6" s="1501" t="s">
        <v>98</v>
      </c>
      <c r="N6" s="1501"/>
      <c r="O6" s="1501"/>
      <c r="P6" s="1501"/>
      <c r="Q6" s="1502" t="s">
        <v>100</v>
      </c>
      <c r="R6" s="1502"/>
      <c r="S6" s="1502"/>
      <c r="T6" s="1502"/>
      <c r="U6" s="1502"/>
      <c r="V6" s="1502"/>
      <c r="W6" s="1502"/>
      <c r="X6" s="1502"/>
      <c r="Y6" s="1502"/>
      <c r="Z6" s="1503" t="s">
        <v>109</v>
      </c>
    </row>
    <row r="7" spans="1:42" s="125" customFormat="1" ht="24.75" customHeight="1" thickBot="1" x14ac:dyDescent="0.25">
      <c r="A7" s="1508" t="s">
        <v>12</v>
      </c>
      <c r="B7" s="1509" t="s">
        <v>13</v>
      </c>
      <c r="C7" s="1495"/>
      <c r="D7" s="1496"/>
      <c r="E7" s="1497"/>
      <c r="F7" s="1498"/>
      <c r="G7" s="1510" t="s">
        <v>15</v>
      </c>
      <c r="H7" s="1511" t="s">
        <v>16</v>
      </c>
      <c r="I7" s="1500"/>
      <c r="J7" s="1512" t="s">
        <v>110</v>
      </c>
      <c r="K7" s="1512" t="s">
        <v>111</v>
      </c>
      <c r="L7" s="1515" t="s">
        <v>112</v>
      </c>
      <c r="M7" s="1516" t="s">
        <v>113</v>
      </c>
      <c r="N7" s="1517" t="s">
        <v>17</v>
      </c>
      <c r="O7" s="1518" t="s">
        <v>18</v>
      </c>
      <c r="P7" s="1506" t="s">
        <v>79</v>
      </c>
      <c r="Q7" s="1507" t="s">
        <v>20</v>
      </c>
      <c r="R7" s="1507"/>
      <c r="S7" s="1507"/>
      <c r="T7" s="1504" t="s">
        <v>86</v>
      </c>
      <c r="U7" s="1504"/>
      <c r="V7" s="1504"/>
      <c r="W7" s="1505" t="s">
        <v>99</v>
      </c>
      <c r="X7" s="1505"/>
      <c r="Y7" s="1505"/>
      <c r="Z7" s="1503"/>
    </row>
    <row r="8" spans="1:42" s="125" customFormat="1" ht="46.5" customHeight="1" thickBot="1" x14ac:dyDescent="0.25">
      <c r="A8" s="1508"/>
      <c r="B8" s="1509"/>
      <c r="C8" s="1495"/>
      <c r="D8" s="1496"/>
      <c r="E8" s="1497"/>
      <c r="F8" s="1498"/>
      <c r="G8" s="1510"/>
      <c r="H8" s="1511"/>
      <c r="I8" s="1500"/>
      <c r="J8" s="1512"/>
      <c r="K8" s="1512"/>
      <c r="L8" s="1515"/>
      <c r="M8" s="1516"/>
      <c r="N8" s="1517"/>
      <c r="O8" s="1518"/>
      <c r="P8" s="1506"/>
      <c r="Q8" s="163" t="s">
        <v>22</v>
      </c>
      <c r="R8" s="164" t="s">
        <v>23</v>
      </c>
      <c r="S8" s="165" t="s">
        <v>24</v>
      </c>
      <c r="T8" s="163" t="s">
        <v>22</v>
      </c>
      <c r="U8" s="164" t="s">
        <v>23</v>
      </c>
      <c r="V8" s="165" t="s">
        <v>24</v>
      </c>
      <c r="W8" s="163" t="s">
        <v>22</v>
      </c>
      <c r="X8" s="164" t="s">
        <v>23</v>
      </c>
      <c r="Y8" s="165" t="s">
        <v>24</v>
      </c>
      <c r="Z8" s="1503"/>
    </row>
    <row r="9" spans="1:42" s="125" customFormat="1" ht="28.5" customHeight="1" thickBot="1" x14ac:dyDescent="0.25">
      <c r="A9" s="166"/>
      <c r="B9" s="166"/>
      <c r="C9" s="167"/>
      <c r="D9" s="168" t="s">
        <v>80</v>
      </c>
      <c r="E9" s="169"/>
      <c r="F9" s="169"/>
      <c r="G9" s="170"/>
      <c r="H9" s="169"/>
      <c r="I9" s="171"/>
      <c r="J9" s="172"/>
      <c r="K9" s="172"/>
      <c r="L9" s="173"/>
      <c r="M9" s="173"/>
      <c r="N9" s="174"/>
      <c r="O9" s="173"/>
      <c r="P9" s="175"/>
      <c r="Q9" s="176"/>
      <c r="R9" s="177"/>
      <c r="S9" s="178"/>
      <c r="T9" s="174"/>
      <c r="U9" s="179"/>
      <c r="V9" s="180"/>
      <c r="W9" s="174"/>
      <c r="X9" s="179"/>
      <c r="Y9" s="180"/>
      <c r="Z9" s="175"/>
    </row>
    <row r="10" spans="1:42" s="202" customFormat="1" ht="28.5" customHeight="1" x14ac:dyDescent="0.25">
      <c r="A10" s="181">
        <v>2310</v>
      </c>
      <c r="B10" s="182">
        <v>6121</v>
      </c>
      <c r="C10" s="183">
        <v>857</v>
      </c>
      <c r="D10" s="184" t="s">
        <v>114</v>
      </c>
      <c r="E10" s="185" t="s">
        <v>115</v>
      </c>
      <c r="F10" s="186">
        <v>400</v>
      </c>
      <c r="G10" s="186">
        <v>2004</v>
      </c>
      <c r="H10" s="187">
        <v>2021</v>
      </c>
      <c r="I10" s="188">
        <f>J10+K10+L10+SUM(Q10:Z10)</f>
        <v>321767</v>
      </c>
      <c r="J10" s="189">
        <v>7004</v>
      </c>
      <c r="K10" s="190">
        <v>0</v>
      </c>
      <c r="L10" s="191">
        <f>M10+N10+O10+P10</f>
        <v>9000</v>
      </c>
      <c r="M10" s="192">
        <v>0</v>
      </c>
      <c r="N10" s="193">
        <v>9000</v>
      </c>
      <c r="O10" s="194">
        <v>0</v>
      </c>
      <c r="P10" s="195">
        <v>0</v>
      </c>
      <c r="Q10" s="196">
        <v>5763</v>
      </c>
      <c r="R10" s="197">
        <v>0</v>
      </c>
      <c r="S10" s="198">
        <v>0</v>
      </c>
      <c r="T10" s="199">
        <f>200000-170000</f>
        <v>30000</v>
      </c>
      <c r="U10" s="194">
        <v>0</v>
      </c>
      <c r="V10" s="190">
        <v>0</v>
      </c>
      <c r="W10" s="199">
        <f>100000-40000</f>
        <v>60000</v>
      </c>
      <c r="X10" s="194">
        <v>0</v>
      </c>
      <c r="Y10" s="200">
        <v>0</v>
      </c>
      <c r="Z10" s="201">
        <f>170000+40000</f>
        <v>210000</v>
      </c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</row>
    <row r="11" spans="1:42" s="26" customFormat="1" ht="28.5" customHeight="1" x14ac:dyDescent="0.25">
      <c r="A11" s="203">
        <v>2310</v>
      </c>
      <c r="B11" s="204">
        <v>6121</v>
      </c>
      <c r="C11" s="205">
        <v>7025</v>
      </c>
      <c r="D11" s="206" t="s">
        <v>116</v>
      </c>
      <c r="E11" s="207" t="s">
        <v>117</v>
      </c>
      <c r="F11" s="186">
        <v>400</v>
      </c>
      <c r="G11" s="186">
        <v>2005</v>
      </c>
      <c r="H11" s="187">
        <v>2021</v>
      </c>
      <c r="I11" s="208">
        <f t="shared" ref="I11:I34" si="0">J11+K11+L11+SUM(Q11:Z11)</f>
        <v>5770</v>
      </c>
      <c r="J11" s="209">
        <v>170</v>
      </c>
      <c r="K11" s="210">
        <v>0</v>
      </c>
      <c r="L11" s="191">
        <f t="shared" ref="L11:L34" si="1">M11+N11+O11+P11</f>
        <v>130</v>
      </c>
      <c r="M11" s="211">
        <v>130</v>
      </c>
      <c r="N11" s="212">
        <v>0</v>
      </c>
      <c r="O11" s="213">
        <v>0</v>
      </c>
      <c r="P11" s="214">
        <v>0</v>
      </c>
      <c r="Q11" s="215">
        <v>2000</v>
      </c>
      <c r="R11" s="213">
        <v>0</v>
      </c>
      <c r="S11" s="216">
        <v>0</v>
      </c>
      <c r="T11" s="217">
        <v>3470</v>
      </c>
      <c r="U11" s="213">
        <v>0</v>
      </c>
      <c r="V11" s="210">
        <v>0</v>
      </c>
      <c r="W11" s="217"/>
      <c r="X11" s="213">
        <v>0</v>
      </c>
      <c r="Y11" s="218">
        <v>0</v>
      </c>
      <c r="Z11" s="219">
        <v>0</v>
      </c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</row>
    <row r="12" spans="1:42" s="26" customFormat="1" ht="28.5" customHeight="1" x14ac:dyDescent="0.25">
      <c r="A12" s="203">
        <v>2310</v>
      </c>
      <c r="B12" s="204">
        <v>6121</v>
      </c>
      <c r="C12" s="220">
        <v>7174</v>
      </c>
      <c r="D12" s="221" t="s">
        <v>118</v>
      </c>
      <c r="E12" s="222" t="s">
        <v>119</v>
      </c>
      <c r="F12" s="186">
        <v>400</v>
      </c>
      <c r="G12" s="223">
        <v>2007</v>
      </c>
      <c r="H12" s="224">
        <v>2017</v>
      </c>
      <c r="I12" s="208">
        <f t="shared" si="0"/>
        <v>2419</v>
      </c>
      <c r="J12" s="209">
        <v>422</v>
      </c>
      <c r="K12" s="210">
        <v>247</v>
      </c>
      <c r="L12" s="191">
        <f t="shared" si="1"/>
        <v>1750</v>
      </c>
      <c r="M12" s="211">
        <f>500+1250</f>
        <v>1750</v>
      </c>
      <c r="N12" s="212">
        <v>0</v>
      </c>
      <c r="O12" s="213">
        <v>0</v>
      </c>
      <c r="P12" s="214">
        <v>0</v>
      </c>
      <c r="Q12" s="215">
        <v>0</v>
      </c>
      <c r="R12" s="213">
        <v>0</v>
      </c>
      <c r="S12" s="216">
        <v>0</v>
      </c>
      <c r="T12" s="217">
        <v>0</v>
      </c>
      <c r="U12" s="213">
        <v>0</v>
      </c>
      <c r="V12" s="210">
        <v>0</v>
      </c>
      <c r="W12" s="217">
        <v>0</v>
      </c>
      <c r="X12" s="213">
        <v>0</v>
      </c>
      <c r="Y12" s="218">
        <v>0</v>
      </c>
      <c r="Z12" s="219">
        <v>0</v>
      </c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</row>
    <row r="13" spans="1:42" s="26" customFormat="1" ht="28.5" customHeight="1" x14ac:dyDescent="0.25">
      <c r="A13" s="203">
        <v>2310</v>
      </c>
      <c r="B13" s="204">
        <v>6121</v>
      </c>
      <c r="C13" s="225">
        <v>7175</v>
      </c>
      <c r="D13" s="226" t="s">
        <v>120</v>
      </c>
      <c r="E13" s="222" t="s">
        <v>121</v>
      </c>
      <c r="F13" s="186">
        <v>400</v>
      </c>
      <c r="G13" s="186">
        <v>2006</v>
      </c>
      <c r="H13" s="187">
        <v>2020</v>
      </c>
      <c r="I13" s="208">
        <f>J13+K13+L13+SUM(Q13:Z13)</f>
        <v>2111</v>
      </c>
      <c r="J13" s="209">
        <v>131</v>
      </c>
      <c r="K13" s="210">
        <v>0</v>
      </c>
      <c r="L13" s="191">
        <f t="shared" si="1"/>
        <v>65</v>
      </c>
      <c r="M13" s="211">
        <v>65</v>
      </c>
      <c r="N13" s="212">
        <v>0</v>
      </c>
      <c r="O13" s="213">
        <v>0</v>
      </c>
      <c r="P13" s="214">
        <v>0</v>
      </c>
      <c r="Q13" s="215">
        <v>1915</v>
      </c>
      <c r="R13" s="213">
        <v>0</v>
      </c>
      <c r="S13" s="216">
        <v>0</v>
      </c>
      <c r="T13" s="217">
        <v>0</v>
      </c>
      <c r="U13" s="213">
        <v>0</v>
      </c>
      <c r="V13" s="210">
        <v>0</v>
      </c>
      <c r="W13" s="217">
        <v>0</v>
      </c>
      <c r="X13" s="213">
        <v>0</v>
      </c>
      <c r="Y13" s="218">
        <v>0</v>
      </c>
      <c r="Z13" s="219">
        <v>0</v>
      </c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</row>
    <row r="14" spans="1:42" s="26" customFormat="1" ht="28.5" customHeight="1" x14ac:dyDescent="0.25">
      <c r="A14" s="227">
        <v>2321</v>
      </c>
      <c r="B14" s="228">
        <v>6121</v>
      </c>
      <c r="C14" s="220">
        <v>7201</v>
      </c>
      <c r="D14" s="229" t="s">
        <v>122</v>
      </c>
      <c r="E14" s="79" t="s">
        <v>123</v>
      </c>
      <c r="F14" s="80">
        <v>400</v>
      </c>
      <c r="G14" s="80">
        <v>2009</v>
      </c>
      <c r="H14" s="81">
        <v>2020</v>
      </c>
      <c r="I14" s="74">
        <f>J14+K14+L14+SUM(Q14:Z14)</f>
        <v>14200</v>
      </c>
      <c r="J14" s="76">
        <v>0</v>
      </c>
      <c r="K14" s="77">
        <v>0</v>
      </c>
      <c r="L14" s="75">
        <f t="shared" si="1"/>
        <v>13200</v>
      </c>
      <c r="M14" s="82">
        <v>4000</v>
      </c>
      <c r="N14" s="83">
        <v>9200</v>
      </c>
      <c r="O14" s="84">
        <v>0</v>
      </c>
      <c r="P14" s="77">
        <v>0</v>
      </c>
      <c r="Q14" s="230">
        <v>1000</v>
      </c>
      <c r="R14" s="84">
        <v>0</v>
      </c>
      <c r="S14" s="77">
        <v>0</v>
      </c>
      <c r="T14" s="85">
        <v>0</v>
      </c>
      <c r="U14" s="84">
        <v>0</v>
      </c>
      <c r="V14" s="77">
        <v>0</v>
      </c>
      <c r="W14" s="85">
        <v>0</v>
      </c>
      <c r="X14" s="84">
        <v>0</v>
      </c>
      <c r="Y14" s="231">
        <v>0</v>
      </c>
      <c r="Z14" s="232">
        <v>0</v>
      </c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</row>
    <row r="15" spans="1:42" s="26" customFormat="1" ht="28.5" customHeight="1" x14ac:dyDescent="0.25">
      <c r="A15" s="203">
        <v>2310</v>
      </c>
      <c r="B15" s="204">
        <v>6121</v>
      </c>
      <c r="C15" s="233">
        <v>7204</v>
      </c>
      <c r="D15" s="206" t="s">
        <v>124</v>
      </c>
      <c r="E15" s="234" t="s">
        <v>125</v>
      </c>
      <c r="F15" s="223">
        <v>400</v>
      </c>
      <c r="G15" s="223">
        <v>2003</v>
      </c>
      <c r="H15" s="224">
        <v>2019</v>
      </c>
      <c r="I15" s="208">
        <f>J15+K15+L15+SUM(Q15:Z15)</f>
        <v>2101</v>
      </c>
      <c r="J15" s="209">
        <v>441</v>
      </c>
      <c r="K15" s="210">
        <v>50</v>
      </c>
      <c r="L15" s="191">
        <f t="shared" si="1"/>
        <v>1610</v>
      </c>
      <c r="M15" s="211">
        <v>1610</v>
      </c>
      <c r="N15" s="212">
        <v>0</v>
      </c>
      <c r="O15" s="213">
        <v>0</v>
      </c>
      <c r="P15" s="214">
        <v>0</v>
      </c>
      <c r="Q15" s="215">
        <v>0</v>
      </c>
      <c r="R15" s="213">
        <v>0</v>
      </c>
      <c r="S15" s="216">
        <v>0</v>
      </c>
      <c r="T15" s="217">
        <v>0</v>
      </c>
      <c r="U15" s="213">
        <v>0</v>
      </c>
      <c r="V15" s="210">
        <v>0</v>
      </c>
      <c r="W15" s="217">
        <v>0</v>
      </c>
      <c r="X15" s="213">
        <v>0</v>
      </c>
      <c r="Y15" s="218">
        <v>0</v>
      </c>
      <c r="Z15" s="219">
        <v>0</v>
      </c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</row>
    <row r="16" spans="1:42" s="26" customFormat="1" ht="28.5" customHeight="1" x14ac:dyDescent="0.25">
      <c r="A16" s="203">
        <v>2310</v>
      </c>
      <c r="B16" s="204">
        <v>6121</v>
      </c>
      <c r="C16" s="233">
        <v>7205</v>
      </c>
      <c r="D16" s="206" t="s">
        <v>126</v>
      </c>
      <c r="E16" s="234" t="s">
        <v>127</v>
      </c>
      <c r="F16" s="223">
        <v>400</v>
      </c>
      <c r="G16" s="223">
        <v>2005</v>
      </c>
      <c r="H16" s="224">
        <v>2020</v>
      </c>
      <c r="I16" s="208">
        <f t="shared" si="0"/>
        <v>6640</v>
      </c>
      <c r="J16" s="209">
        <v>214</v>
      </c>
      <c r="K16" s="210">
        <v>200</v>
      </c>
      <c r="L16" s="191">
        <f t="shared" si="1"/>
        <v>300</v>
      </c>
      <c r="M16" s="211">
        <v>100</v>
      </c>
      <c r="N16" s="212">
        <v>200</v>
      </c>
      <c r="O16" s="213">
        <v>0</v>
      </c>
      <c r="P16" s="214">
        <v>0</v>
      </c>
      <c r="Q16" s="215">
        <v>5926</v>
      </c>
      <c r="R16" s="213">
        <v>0</v>
      </c>
      <c r="S16" s="216">
        <v>0</v>
      </c>
      <c r="T16" s="217">
        <v>0</v>
      </c>
      <c r="U16" s="213">
        <v>0</v>
      </c>
      <c r="V16" s="210">
        <v>0</v>
      </c>
      <c r="W16" s="217">
        <v>0</v>
      </c>
      <c r="X16" s="213">
        <v>0</v>
      </c>
      <c r="Y16" s="218">
        <v>0</v>
      </c>
      <c r="Z16" s="219">
        <v>0</v>
      </c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</row>
    <row r="17" spans="1:42" s="26" customFormat="1" ht="28.5" customHeight="1" x14ac:dyDescent="0.25">
      <c r="A17" s="203">
        <v>2310</v>
      </c>
      <c r="B17" s="204">
        <v>6121</v>
      </c>
      <c r="C17" s="233">
        <v>7231</v>
      </c>
      <c r="D17" s="206" t="s">
        <v>128</v>
      </c>
      <c r="E17" s="207" t="s">
        <v>129</v>
      </c>
      <c r="F17" s="186">
        <v>400</v>
      </c>
      <c r="G17" s="186">
        <v>2012</v>
      </c>
      <c r="H17" s="187">
        <v>2021</v>
      </c>
      <c r="I17" s="208">
        <f t="shared" si="0"/>
        <v>12029</v>
      </c>
      <c r="J17" s="209">
        <v>4027</v>
      </c>
      <c r="K17" s="210">
        <v>2</v>
      </c>
      <c r="L17" s="191">
        <f t="shared" si="1"/>
        <v>2000</v>
      </c>
      <c r="M17" s="211">
        <v>0</v>
      </c>
      <c r="N17" s="212">
        <v>2000</v>
      </c>
      <c r="O17" s="213">
        <v>0</v>
      </c>
      <c r="P17" s="214">
        <v>0</v>
      </c>
      <c r="Q17" s="215">
        <v>2000</v>
      </c>
      <c r="R17" s="213">
        <v>0</v>
      </c>
      <c r="S17" s="216">
        <v>0</v>
      </c>
      <c r="T17" s="217">
        <v>2000</v>
      </c>
      <c r="U17" s="213">
        <v>0</v>
      </c>
      <c r="V17" s="210">
        <v>0</v>
      </c>
      <c r="W17" s="217">
        <v>2000</v>
      </c>
      <c r="X17" s="213">
        <v>0</v>
      </c>
      <c r="Y17" s="218">
        <v>0</v>
      </c>
      <c r="Z17" s="219">
        <v>0</v>
      </c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</row>
    <row r="18" spans="1:42" s="26" customFormat="1" ht="28.5" customHeight="1" x14ac:dyDescent="0.25">
      <c r="A18" s="203">
        <v>2310</v>
      </c>
      <c r="B18" s="204">
        <v>6121</v>
      </c>
      <c r="C18" s="233">
        <v>7232</v>
      </c>
      <c r="D18" s="206" t="s">
        <v>130</v>
      </c>
      <c r="E18" s="207" t="s">
        <v>129</v>
      </c>
      <c r="F18" s="186">
        <v>400</v>
      </c>
      <c r="G18" s="186">
        <v>2012</v>
      </c>
      <c r="H18" s="187">
        <v>2022</v>
      </c>
      <c r="I18" s="208">
        <f t="shared" si="0"/>
        <v>9800</v>
      </c>
      <c r="J18" s="209">
        <v>0</v>
      </c>
      <c r="K18" s="210">
        <v>400</v>
      </c>
      <c r="L18" s="191">
        <f t="shared" si="1"/>
        <v>3400</v>
      </c>
      <c r="M18" s="211">
        <v>500</v>
      </c>
      <c r="N18" s="212">
        <v>2900</v>
      </c>
      <c r="O18" s="235">
        <v>0</v>
      </c>
      <c r="P18" s="236">
        <v>0</v>
      </c>
      <c r="Q18" s="215">
        <v>2000</v>
      </c>
      <c r="R18" s="235">
        <v>0</v>
      </c>
      <c r="S18" s="237">
        <v>0</v>
      </c>
      <c r="T18" s="238">
        <v>2000</v>
      </c>
      <c r="U18" s="235">
        <v>0</v>
      </c>
      <c r="V18" s="239">
        <v>0</v>
      </c>
      <c r="W18" s="217">
        <v>2000</v>
      </c>
      <c r="X18" s="213">
        <v>0</v>
      </c>
      <c r="Y18" s="218">
        <v>0</v>
      </c>
      <c r="Z18" s="219">
        <v>0</v>
      </c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</row>
    <row r="19" spans="1:42" s="26" customFormat="1" ht="28.5" customHeight="1" x14ac:dyDescent="0.25">
      <c r="A19" s="203">
        <v>2310</v>
      </c>
      <c r="B19" s="204">
        <v>6121</v>
      </c>
      <c r="C19" s="233">
        <v>7233</v>
      </c>
      <c r="D19" s="206" t="s">
        <v>131</v>
      </c>
      <c r="E19" s="207" t="s">
        <v>129</v>
      </c>
      <c r="F19" s="186">
        <v>400</v>
      </c>
      <c r="G19" s="186">
        <v>2012</v>
      </c>
      <c r="H19" s="187">
        <v>2021</v>
      </c>
      <c r="I19" s="208">
        <f t="shared" si="0"/>
        <v>990</v>
      </c>
      <c r="J19" s="209">
        <v>5</v>
      </c>
      <c r="K19" s="210">
        <v>185</v>
      </c>
      <c r="L19" s="191">
        <f t="shared" si="1"/>
        <v>800</v>
      </c>
      <c r="M19" s="211">
        <v>800</v>
      </c>
      <c r="N19" s="212">
        <v>0</v>
      </c>
      <c r="O19" s="213">
        <v>0</v>
      </c>
      <c r="P19" s="214">
        <v>0</v>
      </c>
      <c r="Q19" s="215">
        <v>0</v>
      </c>
      <c r="R19" s="213">
        <v>0</v>
      </c>
      <c r="S19" s="216">
        <v>0</v>
      </c>
      <c r="T19" s="217">
        <v>0</v>
      </c>
      <c r="U19" s="213">
        <v>0</v>
      </c>
      <c r="V19" s="210">
        <v>0</v>
      </c>
      <c r="W19" s="217">
        <v>0</v>
      </c>
      <c r="X19" s="213">
        <v>0</v>
      </c>
      <c r="Y19" s="218">
        <v>0</v>
      </c>
      <c r="Z19" s="219">
        <v>0</v>
      </c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</row>
    <row r="20" spans="1:42" s="26" customFormat="1" ht="28.5" customHeight="1" x14ac:dyDescent="0.25">
      <c r="A20" s="203">
        <v>2310</v>
      </c>
      <c r="B20" s="204">
        <v>6121</v>
      </c>
      <c r="C20" s="233">
        <v>7234</v>
      </c>
      <c r="D20" s="206" t="s">
        <v>132</v>
      </c>
      <c r="E20" s="222" t="s">
        <v>129</v>
      </c>
      <c r="F20" s="223">
        <v>400</v>
      </c>
      <c r="G20" s="223">
        <v>2012</v>
      </c>
      <c r="H20" s="224">
        <v>2022</v>
      </c>
      <c r="I20" s="208">
        <f t="shared" si="0"/>
        <v>2750</v>
      </c>
      <c r="J20" s="209">
        <v>0</v>
      </c>
      <c r="K20" s="210">
        <v>250</v>
      </c>
      <c r="L20" s="191">
        <f t="shared" si="1"/>
        <v>1000</v>
      </c>
      <c r="M20" s="211">
        <v>1000</v>
      </c>
      <c r="N20" s="212">
        <v>0</v>
      </c>
      <c r="O20" s="213">
        <v>0</v>
      </c>
      <c r="P20" s="214">
        <v>0</v>
      </c>
      <c r="Q20" s="215">
        <v>500</v>
      </c>
      <c r="R20" s="213">
        <v>0</v>
      </c>
      <c r="S20" s="216">
        <v>0</v>
      </c>
      <c r="T20" s="217">
        <v>500</v>
      </c>
      <c r="U20" s="213">
        <v>0</v>
      </c>
      <c r="V20" s="210">
        <v>0</v>
      </c>
      <c r="W20" s="217">
        <v>500</v>
      </c>
      <c r="X20" s="213">
        <v>0</v>
      </c>
      <c r="Y20" s="218">
        <v>0</v>
      </c>
      <c r="Z20" s="219">
        <v>0</v>
      </c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</row>
    <row r="21" spans="1:42" s="202" customFormat="1" ht="28.5" customHeight="1" x14ac:dyDescent="0.25">
      <c r="A21" s="240">
        <v>2321</v>
      </c>
      <c r="B21" s="241">
        <v>6121</v>
      </c>
      <c r="C21" s="233">
        <v>7236</v>
      </c>
      <c r="D21" s="206" t="s">
        <v>133</v>
      </c>
      <c r="E21" s="207" t="s">
        <v>129</v>
      </c>
      <c r="F21" s="186">
        <v>400</v>
      </c>
      <c r="G21" s="186">
        <v>2012</v>
      </c>
      <c r="H21" s="187">
        <v>2022</v>
      </c>
      <c r="I21" s="208">
        <f t="shared" si="0"/>
        <v>5161</v>
      </c>
      <c r="J21" s="209">
        <v>393</v>
      </c>
      <c r="K21" s="210">
        <v>198</v>
      </c>
      <c r="L21" s="191">
        <f t="shared" si="1"/>
        <v>1570</v>
      </c>
      <c r="M21" s="211">
        <v>670</v>
      </c>
      <c r="N21" s="212">
        <v>900</v>
      </c>
      <c r="O21" s="242">
        <v>0</v>
      </c>
      <c r="P21" s="243">
        <v>0</v>
      </c>
      <c r="Q21" s="215">
        <v>1000</v>
      </c>
      <c r="R21" s="242">
        <v>0</v>
      </c>
      <c r="S21" s="244">
        <v>0</v>
      </c>
      <c r="T21" s="245">
        <v>1000</v>
      </c>
      <c r="U21" s="242">
        <v>0</v>
      </c>
      <c r="V21" s="246">
        <v>0</v>
      </c>
      <c r="W21" s="245">
        <v>1000</v>
      </c>
      <c r="X21" s="242">
        <v>0</v>
      </c>
      <c r="Y21" s="247">
        <v>0</v>
      </c>
      <c r="Z21" s="248">
        <v>0</v>
      </c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</row>
    <row r="22" spans="1:42" s="26" customFormat="1" ht="28.5" customHeight="1" x14ac:dyDescent="0.25">
      <c r="A22" s="203">
        <v>2310</v>
      </c>
      <c r="B22" s="204">
        <v>6121</v>
      </c>
      <c r="C22" s="249">
        <v>7238</v>
      </c>
      <c r="D22" s="250" t="s">
        <v>134</v>
      </c>
      <c r="E22" s="222" t="s">
        <v>127</v>
      </c>
      <c r="F22" s="223">
        <v>400</v>
      </c>
      <c r="G22" s="223">
        <v>2007</v>
      </c>
      <c r="H22" s="224">
        <v>2018</v>
      </c>
      <c r="I22" s="208">
        <f t="shared" si="0"/>
        <v>8800</v>
      </c>
      <c r="J22" s="209">
        <v>435</v>
      </c>
      <c r="K22" s="210">
        <v>7765</v>
      </c>
      <c r="L22" s="191">
        <f t="shared" si="1"/>
        <v>600</v>
      </c>
      <c r="M22" s="211">
        <v>0</v>
      </c>
      <c r="N22" s="212">
        <v>600</v>
      </c>
      <c r="O22" s="213">
        <v>0</v>
      </c>
      <c r="P22" s="214">
        <v>0</v>
      </c>
      <c r="Q22" s="215">
        <v>0</v>
      </c>
      <c r="R22" s="213">
        <v>0</v>
      </c>
      <c r="S22" s="216">
        <v>0</v>
      </c>
      <c r="T22" s="217">
        <v>0</v>
      </c>
      <c r="U22" s="213">
        <v>0</v>
      </c>
      <c r="V22" s="210">
        <v>0</v>
      </c>
      <c r="W22" s="217">
        <v>0</v>
      </c>
      <c r="X22" s="213">
        <v>0</v>
      </c>
      <c r="Y22" s="218">
        <v>0</v>
      </c>
      <c r="Z22" s="219">
        <v>0</v>
      </c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</row>
    <row r="23" spans="1:42" s="26" customFormat="1" ht="28.5" customHeight="1" x14ac:dyDescent="0.25">
      <c r="A23" s="203">
        <v>2310</v>
      </c>
      <c r="B23" s="204">
        <v>6121</v>
      </c>
      <c r="C23" s="103">
        <v>7286</v>
      </c>
      <c r="D23" s="251" t="s">
        <v>135</v>
      </c>
      <c r="E23" s="222" t="s">
        <v>129</v>
      </c>
      <c r="F23" s="223">
        <v>400</v>
      </c>
      <c r="G23" s="223">
        <v>2015</v>
      </c>
      <c r="H23" s="224">
        <v>2021</v>
      </c>
      <c r="I23" s="208">
        <f t="shared" si="0"/>
        <v>2110</v>
      </c>
      <c r="J23" s="252">
        <v>0</v>
      </c>
      <c r="K23" s="210">
        <v>110</v>
      </c>
      <c r="L23" s="191">
        <f t="shared" si="1"/>
        <v>500</v>
      </c>
      <c r="M23" s="211">
        <v>0</v>
      </c>
      <c r="N23" s="212">
        <v>500</v>
      </c>
      <c r="O23" s="213">
        <v>0</v>
      </c>
      <c r="P23" s="214">
        <v>0</v>
      </c>
      <c r="Q23" s="215">
        <v>500</v>
      </c>
      <c r="R23" s="213">
        <v>0</v>
      </c>
      <c r="S23" s="216">
        <v>0</v>
      </c>
      <c r="T23" s="217">
        <v>500</v>
      </c>
      <c r="U23" s="213">
        <v>0</v>
      </c>
      <c r="V23" s="210">
        <v>0</v>
      </c>
      <c r="W23" s="217">
        <v>500</v>
      </c>
      <c r="X23" s="213">
        <v>0</v>
      </c>
      <c r="Y23" s="210">
        <v>0</v>
      </c>
      <c r="Z23" s="253">
        <v>0</v>
      </c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</row>
    <row r="24" spans="1:42" s="26" customFormat="1" ht="28.5" customHeight="1" x14ac:dyDescent="0.25">
      <c r="A24" s="203">
        <v>2310</v>
      </c>
      <c r="B24" s="204">
        <v>6121</v>
      </c>
      <c r="C24" s="249">
        <v>7292</v>
      </c>
      <c r="D24" s="250" t="s">
        <v>136</v>
      </c>
      <c r="E24" s="222" t="s">
        <v>123</v>
      </c>
      <c r="F24" s="223">
        <v>400</v>
      </c>
      <c r="G24" s="223">
        <v>2008</v>
      </c>
      <c r="H24" s="224">
        <v>2019</v>
      </c>
      <c r="I24" s="208">
        <f>J24+K24+L24+SUM(Q24:Z24)</f>
        <v>26796</v>
      </c>
      <c r="J24" s="209">
        <v>17996</v>
      </c>
      <c r="K24" s="210">
        <v>5520</v>
      </c>
      <c r="L24" s="191">
        <f t="shared" si="1"/>
        <v>3280</v>
      </c>
      <c r="M24" s="211">
        <v>3280</v>
      </c>
      <c r="N24" s="212">
        <v>0</v>
      </c>
      <c r="O24" s="213">
        <v>0</v>
      </c>
      <c r="P24" s="214">
        <v>0</v>
      </c>
      <c r="Q24" s="215">
        <v>0</v>
      </c>
      <c r="R24" s="213">
        <v>0</v>
      </c>
      <c r="S24" s="216">
        <v>0</v>
      </c>
      <c r="T24" s="217">
        <v>0</v>
      </c>
      <c r="U24" s="213">
        <v>0</v>
      </c>
      <c r="V24" s="210">
        <v>0</v>
      </c>
      <c r="W24" s="217">
        <v>0</v>
      </c>
      <c r="X24" s="213">
        <v>0</v>
      </c>
      <c r="Y24" s="218">
        <v>0</v>
      </c>
      <c r="Z24" s="219">
        <v>0</v>
      </c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</row>
    <row r="25" spans="1:42" s="26" customFormat="1" ht="28.5" customHeight="1" x14ac:dyDescent="0.25">
      <c r="A25" s="203">
        <v>2310</v>
      </c>
      <c r="B25" s="204">
        <v>6121</v>
      </c>
      <c r="C25" s="233">
        <v>7302</v>
      </c>
      <c r="D25" s="206" t="s">
        <v>137</v>
      </c>
      <c r="E25" s="222" t="s">
        <v>127</v>
      </c>
      <c r="F25" s="223">
        <v>400</v>
      </c>
      <c r="G25" s="223">
        <v>2008</v>
      </c>
      <c r="H25" s="224">
        <v>2019</v>
      </c>
      <c r="I25" s="208">
        <f t="shared" si="0"/>
        <v>5000</v>
      </c>
      <c r="J25" s="209">
        <v>0</v>
      </c>
      <c r="K25" s="210">
        <v>0</v>
      </c>
      <c r="L25" s="191">
        <f t="shared" si="1"/>
        <v>5000</v>
      </c>
      <c r="M25" s="211">
        <v>1000</v>
      </c>
      <c r="N25" s="212">
        <v>4000</v>
      </c>
      <c r="O25" s="213">
        <v>0</v>
      </c>
      <c r="P25" s="214">
        <v>0</v>
      </c>
      <c r="Q25" s="215">
        <v>0</v>
      </c>
      <c r="R25" s="213">
        <v>0</v>
      </c>
      <c r="S25" s="216">
        <v>0</v>
      </c>
      <c r="T25" s="217">
        <v>0</v>
      </c>
      <c r="U25" s="213">
        <v>0</v>
      </c>
      <c r="V25" s="210">
        <v>0</v>
      </c>
      <c r="W25" s="217">
        <v>0</v>
      </c>
      <c r="X25" s="213">
        <v>0</v>
      </c>
      <c r="Y25" s="218">
        <v>0</v>
      </c>
      <c r="Z25" s="219">
        <v>0</v>
      </c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</row>
    <row r="26" spans="1:42" s="26" customFormat="1" ht="28.5" customHeight="1" x14ac:dyDescent="0.25">
      <c r="A26" s="203">
        <v>2310</v>
      </c>
      <c r="B26" s="204">
        <v>6121</v>
      </c>
      <c r="C26" s="233">
        <v>7319</v>
      </c>
      <c r="D26" s="206" t="s">
        <v>138</v>
      </c>
      <c r="E26" s="207" t="s">
        <v>117</v>
      </c>
      <c r="F26" s="186">
        <v>400</v>
      </c>
      <c r="G26" s="186">
        <v>2014</v>
      </c>
      <c r="H26" s="187">
        <v>2020</v>
      </c>
      <c r="I26" s="208">
        <f t="shared" si="0"/>
        <v>5000</v>
      </c>
      <c r="J26" s="209">
        <v>0</v>
      </c>
      <c r="K26" s="210">
        <v>1000</v>
      </c>
      <c r="L26" s="191">
        <f t="shared" si="1"/>
        <v>2000</v>
      </c>
      <c r="M26" s="211">
        <v>2000</v>
      </c>
      <c r="N26" s="212">
        <v>0</v>
      </c>
      <c r="O26" s="213">
        <v>0</v>
      </c>
      <c r="P26" s="214">
        <v>0</v>
      </c>
      <c r="Q26" s="215">
        <v>2000</v>
      </c>
      <c r="R26" s="213">
        <v>0</v>
      </c>
      <c r="S26" s="216">
        <v>0</v>
      </c>
      <c r="T26" s="217">
        <v>0</v>
      </c>
      <c r="U26" s="213">
        <v>0</v>
      </c>
      <c r="V26" s="210">
        <v>0</v>
      </c>
      <c r="W26" s="217">
        <v>0</v>
      </c>
      <c r="X26" s="213">
        <v>0</v>
      </c>
      <c r="Y26" s="218">
        <v>0</v>
      </c>
      <c r="Z26" s="219">
        <v>0</v>
      </c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</row>
    <row r="27" spans="1:42" s="24" customFormat="1" ht="34.5" customHeight="1" x14ac:dyDescent="0.25">
      <c r="A27" s="254">
        <v>2310</v>
      </c>
      <c r="B27" s="254">
        <v>6121</v>
      </c>
      <c r="C27" s="233">
        <v>7325</v>
      </c>
      <c r="D27" s="206" t="s">
        <v>139</v>
      </c>
      <c r="E27" s="78" t="s">
        <v>129</v>
      </c>
      <c r="F27" s="86">
        <v>400</v>
      </c>
      <c r="G27" s="86">
        <v>2016</v>
      </c>
      <c r="H27" s="87">
        <v>2019</v>
      </c>
      <c r="I27" s="255">
        <f>J27+K27+L27+SUM(Q27:Z27)</f>
        <v>32200</v>
      </c>
      <c r="J27" s="76">
        <v>11000</v>
      </c>
      <c r="K27" s="77">
        <v>20200</v>
      </c>
      <c r="L27" s="256">
        <f>M27+N27+O27+P27</f>
        <v>1000</v>
      </c>
      <c r="M27" s="82">
        <v>0</v>
      </c>
      <c r="N27" s="83">
        <v>1000</v>
      </c>
      <c r="O27" s="84">
        <v>0</v>
      </c>
      <c r="P27" s="99">
        <v>0</v>
      </c>
      <c r="Q27" s="257">
        <v>0</v>
      </c>
      <c r="R27" s="84">
        <v>0</v>
      </c>
      <c r="S27" s="100">
        <v>0</v>
      </c>
      <c r="T27" s="85">
        <v>0</v>
      </c>
      <c r="U27" s="84">
        <v>0</v>
      </c>
      <c r="V27" s="77">
        <v>0</v>
      </c>
      <c r="W27" s="85">
        <v>0</v>
      </c>
      <c r="X27" s="84">
        <v>0</v>
      </c>
      <c r="Y27" s="231">
        <v>0</v>
      </c>
      <c r="Z27" s="232">
        <v>0</v>
      </c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</row>
    <row r="28" spans="1:42" s="26" customFormat="1" ht="28.5" customHeight="1" x14ac:dyDescent="0.25">
      <c r="A28" s="203">
        <v>2310</v>
      </c>
      <c r="B28" s="204">
        <v>6121</v>
      </c>
      <c r="C28" s="233">
        <v>7332</v>
      </c>
      <c r="D28" s="206" t="s">
        <v>140</v>
      </c>
      <c r="E28" s="222" t="s">
        <v>123</v>
      </c>
      <c r="F28" s="223">
        <v>400</v>
      </c>
      <c r="G28" s="223">
        <v>2015</v>
      </c>
      <c r="H28" s="258">
        <v>2019</v>
      </c>
      <c r="I28" s="208">
        <f t="shared" si="0"/>
        <v>25000</v>
      </c>
      <c r="J28" s="209">
        <v>0</v>
      </c>
      <c r="K28" s="210">
        <v>0</v>
      </c>
      <c r="L28" s="191">
        <f t="shared" si="1"/>
        <v>15000</v>
      </c>
      <c r="M28" s="211">
        <f>8000+2000</f>
        <v>10000</v>
      </c>
      <c r="N28" s="212">
        <v>5000</v>
      </c>
      <c r="O28" s="213">
        <v>0</v>
      </c>
      <c r="P28" s="214">
        <v>0</v>
      </c>
      <c r="Q28" s="215">
        <v>10000</v>
      </c>
      <c r="R28" s="213">
        <v>0</v>
      </c>
      <c r="S28" s="216">
        <v>0</v>
      </c>
      <c r="T28" s="217">
        <v>0</v>
      </c>
      <c r="U28" s="213">
        <v>0</v>
      </c>
      <c r="V28" s="210">
        <v>0</v>
      </c>
      <c r="W28" s="217">
        <v>0</v>
      </c>
      <c r="X28" s="213">
        <v>0</v>
      </c>
      <c r="Y28" s="218">
        <v>0</v>
      </c>
      <c r="Z28" s="219">
        <v>0</v>
      </c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</row>
    <row r="29" spans="1:42" s="26" customFormat="1" ht="28.5" customHeight="1" x14ac:dyDescent="0.25">
      <c r="A29" s="203">
        <v>2310</v>
      </c>
      <c r="B29" s="204">
        <v>6121</v>
      </c>
      <c r="C29" s="249">
        <v>7341</v>
      </c>
      <c r="D29" s="250" t="s">
        <v>141</v>
      </c>
      <c r="E29" s="207" t="s">
        <v>142</v>
      </c>
      <c r="F29" s="186">
        <v>400</v>
      </c>
      <c r="G29" s="186">
        <v>2017</v>
      </c>
      <c r="H29" s="259">
        <v>2018</v>
      </c>
      <c r="I29" s="208">
        <f t="shared" si="0"/>
        <v>20000</v>
      </c>
      <c r="J29" s="209">
        <v>0</v>
      </c>
      <c r="K29" s="210">
        <v>0</v>
      </c>
      <c r="L29" s="191">
        <f t="shared" si="1"/>
        <v>10000</v>
      </c>
      <c r="M29" s="211">
        <v>0</v>
      </c>
      <c r="N29" s="212">
        <v>10000</v>
      </c>
      <c r="O29" s="213">
        <v>0</v>
      </c>
      <c r="P29" s="214">
        <v>0</v>
      </c>
      <c r="Q29" s="215">
        <v>10000</v>
      </c>
      <c r="R29" s="213">
        <v>0</v>
      </c>
      <c r="S29" s="216">
        <v>0</v>
      </c>
      <c r="T29" s="217">
        <v>0</v>
      </c>
      <c r="U29" s="213">
        <v>0</v>
      </c>
      <c r="V29" s="210">
        <v>0</v>
      </c>
      <c r="W29" s="217">
        <v>0</v>
      </c>
      <c r="X29" s="213">
        <v>0</v>
      </c>
      <c r="Y29" s="218">
        <v>0</v>
      </c>
      <c r="Z29" s="219">
        <v>0</v>
      </c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</row>
    <row r="30" spans="1:42" s="202" customFormat="1" ht="28.5" customHeight="1" x14ac:dyDescent="0.25">
      <c r="A30" s="240">
        <v>2321</v>
      </c>
      <c r="B30" s="241">
        <v>6121</v>
      </c>
      <c r="C30" s="233">
        <v>7342</v>
      </c>
      <c r="D30" s="206" t="s">
        <v>143</v>
      </c>
      <c r="E30" s="207" t="s">
        <v>129</v>
      </c>
      <c r="F30" s="186">
        <v>400</v>
      </c>
      <c r="G30" s="186">
        <v>2012</v>
      </c>
      <c r="H30" s="187">
        <v>2021</v>
      </c>
      <c r="I30" s="208">
        <f t="shared" si="0"/>
        <v>4060</v>
      </c>
      <c r="J30" s="209">
        <v>0</v>
      </c>
      <c r="K30" s="210">
        <v>43</v>
      </c>
      <c r="L30" s="191">
        <f t="shared" si="1"/>
        <v>1017</v>
      </c>
      <c r="M30" s="211">
        <v>157</v>
      </c>
      <c r="N30" s="212">
        <v>860</v>
      </c>
      <c r="O30" s="242">
        <v>0</v>
      </c>
      <c r="P30" s="243">
        <v>0</v>
      </c>
      <c r="Q30" s="215">
        <v>1000</v>
      </c>
      <c r="R30" s="242">
        <v>0</v>
      </c>
      <c r="S30" s="244">
        <v>0</v>
      </c>
      <c r="T30" s="245">
        <v>1000</v>
      </c>
      <c r="U30" s="242">
        <v>0</v>
      </c>
      <c r="V30" s="246">
        <v>0</v>
      </c>
      <c r="W30" s="245">
        <v>1000</v>
      </c>
      <c r="X30" s="242">
        <v>0</v>
      </c>
      <c r="Y30" s="247">
        <v>0</v>
      </c>
      <c r="Z30" s="248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</row>
    <row r="31" spans="1:42" s="26" customFormat="1" ht="28.5" customHeight="1" x14ac:dyDescent="0.25">
      <c r="A31" s="203">
        <v>2310</v>
      </c>
      <c r="B31" s="204">
        <v>6121</v>
      </c>
      <c r="C31" s="249">
        <v>7343</v>
      </c>
      <c r="D31" s="260" t="s">
        <v>144</v>
      </c>
      <c r="E31" s="207" t="s">
        <v>145</v>
      </c>
      <c r="F31" s="186">
        <v>400</v>
      </c>
      <c r="G31" s="186">
        <v>2017</v>
      </c>
      <c r="H31" s="187">
        <v>2019</v>
      </c>
      <c r="I31" s="208">
        <f t="shared" si="0"/>
        <v>11786</v>
      </c>
      <c r="J31" s="209">
        <v>925</v>
      </c>
      <c r="K31" s="210">
        <v>8961</v>
      </c>
      <c r="L31" s="191">
        <f t="shared" si="1"/>
        <v>1900</v>
      </c>
      <c r="M31" s="211">
        <v>1900</v>
      </c>
      <c r="N31" s="212">
        <v>0</v>
      </c>
      <c r="O31" s="213">
        <v>0</v>
      </c>
      <c r="P31" s="214">
        <v>0</v>
      </c>
      <c r="Q31" s="215">
        <v>0</v>
      </c>
      <c r="R31" s="213">
        <v>0</v>
      </c>
      <c r="S31" s="216">
        <v>0</v>
      </c>
      <c r="T31" s="217">
        <v>0</v>
      </c>
      <c r="U31" s="213">
        <v>0</v>
      </c>
      <c r="V31" s="210">
        <v>0</v>
      </c>
      <c r="W31" s="217">
        <v>0</v>
      </c>
      <c r="X31" s="213">
        <v>0</v>
      </c>
      <c r="Y31" s="218">
        <v>0</v>
      </c>
      <c r="Z31" s="219">
        <v>0</v>
      </c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</row>
    <row r="32" spans="1:42" s="26" customFormat="1" ht="28.5" customHeight="1" x14ac:dyDescent="0.25">
      <c r="A32" s="240">
        <v>2310</v>
      </c>
      <c r="B32" s="241">
        <v>6121</v>
      </c>
      <c r="C32" s="249">
        <v>7346</v>
      </c>
      <c r="D32" s="261" t="s">
        <v>146</v>
      </c>
      <c r="E32" s="207" t="s">
        <v>147</v>
      </c>
      <c r="F32" s="186">
        <v>400</v>
      </c>
      <c r="G32" s="186">
        <v>2013</v>
      </c>
      <c r="H32" s="187">
        <v>2018</v>
      </c>
      <c r="I32" s="208">
        <f t="shared" si="0"/>
        <v>902</v>
      </c>
      <c r="J32" s="209">
        <v>0</v>
      </c>
      <c r="K32" s="210">
        <v>402</v>
      </c>
      <c r="L32" s="191">
        <f t="shared" si="1"/>
        <v>500</v>
      </c>
      <c r="M32" s="211">
        <v>500</v>
      </c>
      <c r="N32" s="212">
        <v>0</v>
      </c>
      <c r="O32" s="213">
        <v>0</v>
      </c>
      <c r="P32" s="214">
        <v>0</v>
      </c>
      <c r="Q32" s="215">
        <v>0</v>
      </c>
      <c r="R32" s="213">
        <v>0</v>
      </c>
      <c r="S32" s="216">
        <v>0</v>
      </c>
      <c r="T32" s="217">
        <v>0</v>
      </c>
      <c r="U32" s="213">
        <v>0</v>
      </c>
      <c r="V32" s="210">
        <v>0</v>
      </c>
      <c r="W32" s="217">
        <v>0</v>
      </c>
      <c r="X32" s="213">
        <v>0</v>
      </c>
      <c r="Y32" s="218">
        <v>0</v>
      </c>
      <c r="Z32" s="219">
        <v>0</v>
      </c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</row>
    <row r="33" spans="1:42" s="23" customFormat="1" ht="56.25" customHeight="1" x14ac:dyDescent="0.25">
      <c r="A33" s="262">
        <v>2310</v>
      </c>
      <c r="B33" s="263">
        <v>6121</v>
      </c>
      <c r="C33" s="233">
        <v>7352</v>
      </c>
      <c r="D33" s="206" t="s">
        <v>148</v>
      </c>
      <c r="E33" s="207" t="s">
        <v>127</v>
      </c>
      <c r="F33" s="186">
        <v>400</v>
      </c>
      <c r="G33" s="186">
        <v>2008</v>
      </c>
      <c r="H33" s="259">
        <v>2020</v>
      </c>
      <c r="I33" s="208">
        <f t="shared" si="0"/>
        <v>20700</v>
      </c>
      <c r="J33" s="209">
        <v>0</v>
      </c>
      <c r="K33" s="210">
        <v>100</v>
      </c>
      <c r="L33" s="191">
        <f t="shared" si="1"/>
        <v>10600</v>
      </c>
      <c r="M33" s="211">
        <v>600</v>
      </c>
      <c r="N33" s="212">
        <v>10000</v>
      </c>
      <c r="O33" s="213">
        <v>0</v>
      </c>
      <c r="P33" s="214">
        <v>0</v>
      </c>
      <c r="Q33" s="215">
        <v>10000</v>
      </c>
      <c r="R33" s="213">
        <v>0</v>
      </c>
      <c r="S33" s="216">
        <v>0</v>
      </c>
      <c r="T33" s="217">
        <v>0</v>
      </c>
      <c r="U33" s="213">
        <v>0</v>
      </c>
      <c r="V33" s="210">
        <v>0</v>
      </c>
      <c r="W33" s="217">
        <v>0</v>
      </c>
      <c r="X33" s="213">
        <v>0</v>
      </c>
      <c r="Y33" s="218">
        <v>0</v>
      </c>
      <c r="Z33" s="219">
        <v>0</v>
      </c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</row>
    <row r="34" spans="1:42" s="26" customFormat="1" ht="28.5" customHeight="1" thickBot="1" x14ac:dyDescent="0.3">
      <c r="A34" s="1154">
        <v>2310</v>
      </c>
      <c r="B34" s="1155">
        <v>6121</v>
      </c>
      <c r="C34" s="1156">
        <v>7353</v>
      </c>
      <c r="D34" s="1157" t="s">
        <v>149</v>
      </c>
      <c r="E34" s="1158" t="s">
        <v>123</v>
      </c>
      <c r="F34" s="1159">
        <v>400</v>
      </c>
      <c r="G34" s="1159">
        <v>2010</v>
      </c>
      <c r="H34" s="1160">
        <v>2020</v>
      </c>
      <c r="I34" s="1107">
        <f t="shared" si="0"/>
        <v>34782</v>
      </c>
      <c r="J34" s="1133">
        <v>2392</v>
      </c>
      <c r="K34" s="1161">
        <v>100</v>
      </c>
      <c r="L34" s="1162">
        <f t="shared" si="1"/>
        <v>18290</v>
      </c>
      <c r="M34" s="1163">
        <f>11000+290</f>
        <v>11290</v>
      </c>
      <c r="N34" s="1164">
        <v>7000</v>
      </c>
      <c r="O34" s="1165">
        <v>0</v>
      </c>
      <c r="P34" s="1166">
        <v>0</v>
      </c>
      <c r="Q34" s="1167">
        <v>14000</v>
      </c>
      <c r="R34" s="1165">
        <v>0</v>
      </c>
      <c r="S34" s="1168">
        <v>0</v>
      </c>
      <c r="T34" s="1169">
        <v>0</v>
      </c>
      <c r="U34" s="1165">
        <v>0</v>
      </c>
      <c r="V34" s="1161">
        <v>0</v>
      </c>
      <c r="W34" s="1169">
        <v>0</v>
      </c>
      <c r="X34" s="1165">
        <v>0</v>
      </c>
      <c r="Y34" s="1170">
        <v>0</v>
      </c>
      <c r="Z34" s="1171">
        <v>0</v>
      </c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</row>
    <row r="35" spans="1:42" s="26" customFormat="1" ht="33" customHeight="1" x14ac:dyDescent="0.25">
      <c r="A35" s="1137">
        <v>2321</v>
      </c>
      <c r="B35" s="1138">
        <v>6121</v>
      </c>
      <c r="C35" s="264">
        <v>7363</v>
      </c>
      <c r="D35" s="1139" t="s">
        <v>150</v>
      </c>
      <c r="E35" s="1140" t="s">
        <v>115</v>
      </c>
      <c r="F35" s="1141">
        <v>400</v>
      </c>
      <c r="G35" s="1141">
        <v>2018</v>
      </c>
      <c r="H35" s="1142">
        <v>2022</v>
      </c>
      <c r="I35" s="1143">
        <f>J35+K35+L35+SUM(Q35:Z35)</f>
        <v>40000</v>
      </c>
      <c r="J35" s="1144">
        <v>0</v>
      </c>
      <c r="K35" s="1145">
        <v>0</v>
      </c>
      <c r="L35" s="256">
        <f>M35+N35+O35+P35</f>
        <v>1000</v>
      </c>
      <c r="M35" s="1146">
        <v>1000</v>
      </c>
      <c r="N35" s="1147">
        <v>0</v>
      </c>
      <c r="O35" s="1148">
        <v>0</v>
      </c>
      <c r="P35" s="1145">
        <v>0</v>
      </c>
      <c r="Q35" s="1149">
        <v>0</v>
      </c>
      <c r="R35" s="1148">
        <v>0</v>
      </c>
      <c r="S35" s="1150">
        <v>0</v>
      </c>
      <c r="T35" s="1151">
        <v>29000</v>
      </c>
      <c r="U35" s="1148">
        <v>0</v>
      </c>
      <c r="V35" s="1150">
        <v>0</v>
      </c>
      <c r="W35" s="1151">
        <v>10000</v>
      </c>
      <c r="X35" s="1148">
        <v>0</v>
      </c>
      <c r="Y35" s="1152">
        <v>0</v>
      </c>
      <c r="Z35" s="1153">
        <v>0</v>
      </c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</row>
    <row r="36" spans="1:42" s="26" customFormat="1" ht="28.5" customHeight="1" thickBot="1" x14ac:dyDescent="0.3">
      <c r="A36" s="265">
        <v>2310</v>
      </c>
      <c r="B36" s="266">
        <v>6121</v>
      </c>
      <c r="C36" s="267">
        <v>7366</v>
      </c>
      <c r="D36" s="268" t="s">
        <v>151</v>
      </c>
      <c r="E36" s="269" t="s">
        <v>129</v>
      </c>
      <c r="F36" s="270">
        <v>400</v>
      </c>
      <c r="G36" s="270">
        <v>2019</v>
      </c>
      <c r="H36" s="271">
        <v>2022</v>
      </c>
      <c r="I36" s="272">
        <f>J36+K36+L36+SUM(Q36:Z36)</f>
        <v>1000</v>
      </c>
      <c r="J36" s="273">
        <v>0</v>
      </c>
      <c r="K36" s="274">
        <v>0</v>
      </c>
      <c r="L36" s="275">
        <f>M36+N36+O36+P36</f>
        <v>1000</v>
      </c>
      <c r="M36" s="276">
        <v>0</v>
      </c>
      <c r="N36" s="277">
        <v>1000</v>
      </c>
      <c r="O36" s="278">
        <v>0</v>
      </c>
      <c r="P36" s="279">
        <v>0</v>
      </c>
      <c r="Q36" s="280">
        <v>0</v>
      </c>
      <c r="R36" s="278">
        <v>0</v>
      </c>
      <c r="S36" s="281">
        <v>0</v>
      </c>
      <c r="T36" s="282">
        <v>0</v>
      </c>
      <c r="U36" s="278">
        <v>0</v>
      </c>
      <c r="V36" s="274">
        <v>0</v>
      </c>
      <c r="W36" s="282">
        <v>0</v>
      </c>
      <c r="X36" s="278">
        <v>0</v>
      </c>
      <c r="Y36" s="283">
        <v>0</v>
      </c>
      <c r="Z36" s="284">
        <v>0</v>
      </c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</row>
    <row r="37" spans="1:42" s="125" customFormat="1" ht="28.5" customHeight="1" thickBot="1" x14ac:dyDescent="0.3">
      <c r="A37" s="285"/>
      <c r="B37" s="285"/>
      <c r="C37" s="285"/>
      <c r="D37" s="1513" t="s">
        <v>81</v>
      </c>
      <c r="E37" s="1513"/>
      <c r="F37" s="1513"/>
      <c r="G37" s="1513"/>
      <c r="H37" s="1514"/>
      <c r="I37" s="286">
        <f t="shared" ref="I37:Z37" si="2">SUM(I10:I36)</f>
        <v>623874</v>
      </c>
      <c r="J37" s="286">
        <f t="shared" si="2"/>
        <v>45555</v>
      </c>
      <c r="K37" s="287">
        <f t="shared" si="2"/>
        <v>45733</v>
      </c>
      <c r="L37" s="287">
        <f t="shared" si="2"/>
        <v>106512</v>
      </c>
      <c r="M37" s="287">
        <f t="shared" si="2"/>
        <v>42352</v>
      </c>
      <c r="N37" s="287">
        <f t="shared" si="2"/>
        <v>64160</v>
      </c>
      <c r="O37" s="287">
        <f t="shared" si="2"/>
        <v>0</v>
      </c>
      <c r="P37" s="287">
        <f t="shared" si="2"/>
        <v>0</v>
      </c>
      <c r="Q37" s="287">
        <f t="shared" si="2"/>
        <v>69604</v>
      </c>
      <c r="R37" s="287">
        <f t="shared" si="2"/>
        <v>0</v>
      </c>
      <c r="S37" s="287">
        <f t="shared" si="2"/>
        <v>0</v>
      </c>
      <c r="T37" s="287">
        <f t="shared" si="2"/>
        <v>69470</v>
      </c>
      <c r="U37" s="287">
        <f t="shared" si="2"/>
        <v>0</v>
      </c>
      <c r="V37" s="287">
        <f t="shared" si="2"/>
        <v>0</v>
      </c>
      <c r="W37" s="287">
        <f t="shared" si="2"/>
        <v>77000</v>
      </c>
      <c r="X37" s="287">
        <f t="shared" si="2"/>
        <v>0</v>
      </c>
      <c r="Y37" s="287">
        <f t="shared" si="2"/>
        <v>0</v>
      </c>
      <c r="Z37" s="287">
        <f t="shared" si="2"/>
        <v>210000</v>
      </c>
    </row>
    <row r="38" spans="1:42" s="88" customFormat="1" ht="7.5" customHeight="1" x14ac:dyDescent="0.25">
      <c r="A38" s="288"/>
      <c r="B38" s="288"/>
      <c r="C38" s="288"/>
      <c r="D38" s="89"/>
      <c r="E38" s="89"/>
      <c r="F38" s="89"/>
      <c r="G38" s="89"/>
      <c r="H38" s="89"/>
      <c r="I38" s="90"/>
      <c r="J38" s="91"/>
      <c r="K38" s="91"/>
      <c r="L38" s="91"/>
      <c r="M38" s="91"/>
      <c r="N38" s="91"/>
      <c r="O38" s="91"/>
      <c r="P38" s="91"/>
      <c r="Q38" s="91"/>
      <c r="R38" s="91"/>
      <c r="S38" s="91"/>
      <c r="T38" s="91"/>
      <c r="U38" s="91"/>
      <c r="V38" s="91"/>
      <c r="W38" s="91"/>
      <c r="X38" s="91"/>
      <c r="Y38" s="91"/>
      <c r="Z38" s="91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</row>
    <row r="39" spans="1:42" s="92" customFormat="1" ht="21.75" customHeight="1" x14ac:dyDescent="0.2">
      <c r="A39" s="289"/>
      <c r="B39" s="289"/>
      <c r="C39" s="289"/>
      <c r="D39" s="290"/>
      <c r="E39" s="291"/>
      <c r="F39" s="291"/>
      <c r="G39" s="291"/>
      <c r="H39" s="291"/>
      <c r="I39" s="290"/>
      <c r="J39" s="290"/>
      <c r="K39" s="290"/>
      <c r="L39" s="290"/>
      <c r="M39" s="290"/>
      <c r="N39" s="290"/>
      <c r="O39" s="290"/>
      <c r="P39" s="290"/>
      <c r="Q39" s="290"/>
      <c r="R39" s="290"/>
      <c r="S39" s="290"/>
      <c r="T39" s="290"/>
      <c r="U39" s="290"/>
      <c r="V39" s="290"/>
      <c r="W39" s="290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</row>
    <row r="40" spans="1:42" s="92" customFormat="1" ht="21.75" customHeight="1" x14ac:dyDescent="0.25">
      <c r="A40" s="289"/>
      <c r="B40" s="289"/>
      <c r="C40" s="289"/>
      <c r="D40" s="292"/>
      <c r="E40" s="291"/>
      <c r="F40" s="291"/>
      <c r="G40" s="291"/>
      <c r="H40" s="291"/>
      <c r="I40" s="290"/>
      <c r="J40" s="290"/>
      <c r="K40" s="290"/>
      <c r="L40" s="290"/>
      <c r="M40" s="290"/>
      <c r="N40" s="290"/>
      <c r="O40" s="290"/>
      <c r="P40" s="290"/>
      <c r="Q40" s="290"/>
      <c r="R40" s="290"/>
      <c r="S40" s="290"/>
      <c r="T40" s="290"/>
      <c r="U40" s="290"/>
      <c r="V40" s="290"/>
      <c r="W40" s="29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</row>
    <row r="41" spans="1:42" s="92" customFormat="1" ht="21.75" customHeight="1" x14ac:dyDescent="0.2">
      <c r="A41" s="289"/>
      <c r="B41" s="289"/>
      <c r="C41" s="289"/>
      <c r="E41"/>
      <c r="F41"/>
      <c r="G41"/>
      <c r="H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</row>
    <row r="42" spans="1:42" s="92" customFormat="1" ht="21.75" customHeight="1" x14ac:dyDescent="0.2">
      <c r="A42" s="289"/>
      <c r="B42" s="289"/>
      <c r="C42" s="289"/>
      <c r="E42"/>
      <c r="F42"/>
      <c r="G42"/>
      <c r="H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</row>
    <row r="43" spans="1:42" ht="21.75" customHeight="1" x14ac:dyDescent="0.2">
      <c r="A43" s="289"/>
      <c r="B43" s="289"/>
      <c r="C43" s="289"/>
      <c r="D43" s="92"/>
    </row>
    <row r="44" spans="1:42" ht="21.75" customHeight="1" x14ac:dyDescent="0.2">
      <c r="A44" s="289"/>
      <c r="B44" s="289"/>
      <c r="C44" s="289"/>
      <c r="D44" s="92"/>
    </row>
    <row r="45" spans="1:42" ht="21.75" customHeight="1" x14ac:dyDescent="0.2">
      <c r="A45" s="289"/>
      <c r="B45" s="289"/>
      <c r="C45" s="289"/>
    </row>
    <row r="46" spans="1:42" ht="21.75" customHeight="1" x14ac:dyDescent="0.2">
      <c r="A46" s="289"/>
      <c r="B46" s="289"/>
      <c r="C46" s="289"/>
    </row>
    <row r="47" spans="1:42" ht="21.75" customHeight="1" x14ac:dyDescent="0.2"/>
    <row r="48" spans="1:42" ht="21.75" customHeight="1" x14ac:dyDescent="0.2"/>
    <row r="49" ht="21.75" customHeight="1" x14ac:dyDescent="0.2"/>
    <row r="50" ht="21.75" customHeight="1" x14ac:dyDescent="0.2"/>
    <row r="51" ht="21.75" customHeight="1" x14ac:dyDescent="0.2"/>
    <row r="52" ht="21.75" customHeight="1" x14ac:dyDescent="0.2"/>
    <row r="53" ht="21.75" customHeight="1" x14ac:dyDescent="0.2"/>
    <row r="54" ht="21.75" customHeight="1" x14ac:dyDescent="0.2"/>
  </sheetData>
  <sheetProtection selectLockedCells="1" selectUnlockedCells="1"/>
  <mergeCells count="25">
    <mergeCell ref="D37:H37"/>
    <mergeCell ref="L7:L8"/>
    <mergeCell ref="M7:M8"/>
    <mergeCell ref="N7:N8"/>
    <mergeCell ref="O7:O8"/>
    <mergeCell ref="K7:K8"/>
    <mergeCell ref="A7:A8"/>
    <mergeCell ref="B7:B8"/>
    <mergeCell ref="G7:G8"/>
    <mergeCell ref="H7:H8"/>
    <mergeCell ref="J7:J8"/>
    <mergeCell ref="D1:Z1"/>
    <mergeCell ref="C6:C8"/>
    <mergeCell ref="D6:D8"/>
    <mergeCell ref="E6:E8"/>
    <mergeCell ref="F6:F8"/>
    <mergeCell ref="G6:H6"/>
    <mergeCell ref="I6:I8"/>
    <mergeCell ref="M6:P6"/>
    <mergeCell ref="Q6:Y6"/>
    <mergeCell ref="Z6:Z8"/>
    <mergeCell ref="T7:V7"/>
    <mergeCell ref="W7:Y7"/>
    <mergeCell ref="P7:P8"/>
    <mergeCell ref="Q7:S7"/>
  </mergeCells>
  <pageMargins left="0.23622047244094491" right="0" top="0.74803149606299213" bottom="0.74803149606299213" header="0.31496062992125984" footer="0.31496062992125984"/>
  <pageSetup paperSize="8" scale="78" firstPageNumber="0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P91"/>
  <sheetViews>
    <sheetView topLeftCell="C37" zoomScaleNormal="100" zoomScaleSheetLayoutView="70" workbookViewId="0">
      <selection activeCell="G4" sqref="G4"/>
    </sheetView>
  </sheetViews>
  <sheetFormatPr defaultRowHeight="12.75" x14ac:dyDescent="0.2"/>
  <cols>
    <col min="1" max="1" width="5.85546875" style="125" hidden="1" customWidth="1"/>
    <col min="2" max="2" width="7.5703125" style="125" hidden="1" customWidth="1"/>
    <col min="3" max="3" width="7.42578125" style="125" customWidth="1"/>
    <col min="4" max="4" width="48.85546875" style="125" customWidth="1"/>
    <col min="5" max="6" width="4.28515625" style="125" customWidth="1"/>
    <col min="7" max="7" width="6.5703125" style="125" customWidth="1"/>
    <col min="8" max="8" width="5.5703125" style="125" customWidth="1"/>
    <col min="9" max="9" width="13.5703125" style="125" customWidth="1"/>
    <col min="10" max="26" width="10.7109375" style="125" customWidth="1"/>
    <col min="27" max="256" width="9.140625" style="125"/>
    <col min="257" max="258" width="0" style="125" hidden="1" customWidth="1"/>
    <col min="259" max="259" width="7.42578125" style="125" customWidth="1"/>
    <col min="260" max="260" width="48.85546875" style="125" customWidth="1"/>
    <col min="261" max="262" width="4.28515625" style="125" customWidth="1"/>
    <col min="263" max="263" width="6.5703125" style="125" customWidth="1"/>
    <col min="264" max="264" width="5.5703125" style="125" customWidth="1"/>
    <col min="265" max="265" width="13.5703125" style="125" customWidth="1"/>
    <col min="266" max="282" width="10.7109375" style="125" customWidth="1"/>
    <col min="283" max="512" width="9.140625" style="125"/>
    <col min="513" max="514" width="0" style="125" hidden="1" customWidth="1"/>
    <col min="515" max="515" width="7.42578125" style="125" customWidth="1"/>
    <col min="516" max="516" width="48.85546875" style="125" customWidth="1"/>
    <col min="517" max="518" width="4.28515625" style="125" customWidth="1"/>
    <col min="519" max="519" width="6.5703125" style="125" customWidth="1"/>
    <col min="520" max="520" width="5.5703125" style="125" customWidth="1"/>
    <col min="521" max="521" width="13.5703125" style="125" customWidth="1"/>
    <col min="522" max="538" width="10.7109375" style="125" customWidth="1"/>
    <col min="539" max="768" width="9.140625" style="125"/>
    <col min="769" max="770" width="0" style="125" hidden="1" customWidth="1"/>
    <col min="771" max="771" width="7.42578125" style="125" customWidth="1"/>
    <col min="772" max="772" width="48.85546875" style="125" customWidth="1"/>
    <col min="773" max="774" width="4.28515625" style="125" customWidth="1"/>
    <col min="775" max="775" width="6.5703125" style="125" customWidth="1"/>
    <col min="776" max="776" width="5.5703125" style="125" customWidth="1"/>
    <col min="777" max="777" width="13.5703125" style="125" customWidth="1"/>
    <col min="778" max="794" width="10.7109375" style="125" customWidth="1"/>
    <col min="795" max="1024" width="9.140625" style="125"/>
    <col min="1025" max="1026" width="0" style="125" hidden="1" customWidth="1"/>
    <col min="1027" max="1027" width="7.42578125" style="125" customWidth="1"/>
    <col min="1028" max="1028" width="48.85546875" style="125" customWidth="1"/>
    <col min="1029" max="1030" width="4.28515625" style="125" customWidth="1"/>
    <col min="1031" max="1031" width="6.5703125" style="125" customWidth="1"/>
    <col min="1032" max="1032" width="5.5703125" style="125" customWidth="1"/>
    <col min="1033" max="1033" width="13.5703125" style="125" customWidth="1"/>
    <col min="1034" max="1050" width="10.7109375" style="125" customWidth="1"/>
    <col min="1051" max="1280" width="9.140625" style="125"/>
    <col min="1281" max="1282" width="0" style="125" hidden="1" customWidth="1"/>
    <col min="1283" max="1283" width="7.42578125" style="125" customWidth="1"/>
    <col min="1284" max="1284" width="48.85546875" style="125" customWidth="1"/>
    <col min="1285" max="1286" width="4.28515625" style="125" customWidth="1"/>
    <col min="1287" max="1287" width="6.5703125" style="125" customWidth="1"/>
    <col min="1288" max="1288" width="5.5703125" style="125" customWidth="1"/>
    <col min="1289" max="1289" width="13.5703125" style="125" customWidth="1"/>
    <col min="1290" max="1306" width="10.7109375" style="125" customWidth="1"/>
    <col min="1307" max="1536" width="9.140625" style="125"/>
    <col min="1537" max="1538" width="0" style="125" hidden="1" customWidth="1"/>
    <col min="1539" max="1539" width="7.42578125" style="125" customWidth="1"/>
    <col min="1540" max="1540" width="48.85546875" style="125" customWidth="1"/>
    <col min="1541" max="1542" width="4.28515625" style="125" customWidth="1"/>
    <col min="1543" max="1543" width="6.5703125" style="125" customWidth="1"/>
    <col min="1544" max="1544" width="5.5703125" style="125" customWidth="1"/>
    <col min="1545" max="1545" width="13.5703125" style="125" customWidth="1"/>
    <col min="1546" max="1562" width="10.7109375" style="125" customWidth="1"/>
    <col min="1563" max="1792" width="9.140625" style="125"/>
    <col min="1793" max="1794" width="0" style="125" hidden="1" customWidth="1"/>
    <col min="1795" max="1795" width="7.42578125" style="125" customWidth="1"/>
    <col min="1796" max="1796" width="48.85546875" style="125" customWidth="1"/>
    <col min="1797" max="1798" width="4.28515625" style="125" customWidth="1"/>
    <col min="1799" max="1799" width="6.5703125" style="125" customWidth="1"/>
    <col min="1800" max="1800" width="5.5703125" style="125" customWidth="1"/>
    <col min="1801" max="1801" width="13.5703125" style="125" customWidth="1"/>
    <col min="1802" max="1818" width="10.7109375" style="125" customWidth="1"/>
    <col min="1819" max="2048" width="9.140625" style="125"/>
    <col min="2049" max="2050" width="0" style="125" hidden="1" customWidth="1"/>
    <col min="2051" max="2051" width="7.42578125" style="125" customWidth="1"/>
    <col min="2052" max="2052" width="48.85546875" style="125" customWidth="1"/>
    <col min="2053" max="2054" width="4.28515625" style="125" customWidth="1"/>
    <col min="2055" max="2055" width="6.5703125" style="125" customWidth="1"/>
    <col min="2056" max="2056" width="5.5703125" style="125" customWidth="1"/>
    <col min="2057" max="2057" width="13.5703125" style="125" customWidth="1"/>
    <col min="2058" max="2074" width="10.7109375" style="125" customWidth="1"/>
    <col min="2075" max="2304" width="9.140625" style="125"/>
    <col min="2305" max="2306" width="0" style="125" hidden="1" customWidth="1"/>
    <col min="2307" max="2307" width="7.42578125" style="125" customWidth="1"/>
    <col min="2308" max="2308" width="48.85546875" style="125" customWidth="1"/>
    <col min="2309" max="2310" width="4.28515625" style="125" customWidth="1"/>
    <col min="2311" max="2311" width="6.5703125" style="125" customWidth="1"/>
    <col min="2312" max="2312" width="5.5703125" style="125" customWidth="1"/>
    <col min="2313" max="2313" width="13.5703125" style="125" customWidth="1"/>
    <col min="2314" max="2330" width="10.7109375" style="125" customWidth="1"/>
    <col min="2331" max="2560" width="9.140625" style="125"/>
    <col min="2561" max="2562" width="0" style="125" hidden="1" customWidth="1"/>
    <col min="2563" max="2563" width="7.42578125" style="125" customWidth="1"/>
    <col min="2564" max="2564" width="48.85546875" style="125" customWidth="1"/>
    <col min="2565" max="2566" width="4.28515625" style="125" customWidth="1"/>
    <col min="2567" max="2567" width="6.5703125" style="125" customWidth="1"/>
    <col min="2568" max="2568" width="5.5703125" style="125" customWidth="1"/>
    <col min="2569" max="2569" width="13.5703125" style="125" customWidth="1"/>
    <col min="2570" max="2586" width="10.7109375" style="125" customWidth="1"/>
    <col min="2587" max="2816" width="9.140625" style="125"/>
    <col min="2817" max="2818" width="0" style="125" hidden="1" customWidth="1"/>
    <col min="2819" max="2819" width="7.42578125" style="125" customWidth="1"/>
    <col min="2820" max="2820" width="48.85546875" style="125" customWidth="1"/>
    <col min="2821" max="2822" width="4.28515625" style="125" customWidth="1"/>
    <col min="2823" max="2823" width="6.5703125" style="125" customWidth="1"/>
    <col min="2824" max="2824" width="5.5703125" style="125" customWidth="1"/>
    <col min="2825" max="2825" width="13.5703125" style="125" customWidth="1"/>
    <col min="2826" max="2842" width="10.7109375" style="125" customWidth="1"/>
    <col min="2843" max="3072" width="9.140625" style="125"/>
    <col min="3073" max="3074" width="0" style="125" hidden="1" customWidth="1"/>
    <col min="3075" max="3075" width="7.42578125" style="125" customWidth="1"/>
    <col min="3076" max="3076" width="48.85546875" style="125" customWidth="1"/>
    <col min="3077" max="3078" width="4.28515625" style="125" customWidth="1"/>
    <col min="3079" max="3079" width="6.5703125" style="125" customWidth="1"/>
    <col min="3080" max="3080" width="5.5703125" style="125" customWidth="1"/>
    <col min="3081" max="3081" width="13.5703125" style="125" customWidth="1"/>
    <col min="3082" max="3098" width="10.7109375" style="125" customWidth="1"/>
    <col min="3099" max="3328" width="9.140625" style="125"/>
    <col min="3329" max="3330" width="0" style="125" hidden="1" customWidth="1"/>
    <col min="3331" max="3331" width="7.42578125" style="125" customWidth="1"/>
    <col min="3332" max="3332" width="48.85546875" style="125" customWidth="1"/>
    <col min="3333" max="3334" width="4.28515625" style="125" customWidth="1"/>
    <col min="3335" max="3335" width="6.5703125" style="125" customWidth="1"/>
    <col min="3336" max="3336" width="5.5703125" style="125" customWidth="1"/>
    <col min="3337" max="3337" width="13.5703125" style="125" customWidth="1"/>
    <col min="3338" max="3354" width="10.7109375" style="125" customWidth="1"/>
    <col min="3355" max="3584" width="9.140625" style="125"/>
    <col min="3585" max="3586" width="0" style="125" hidden="1" customWidth="1"/>
    <col min="3587" max="3587" width="7.42578125" style="125" customWidth="1"/>
    <col min="3588" max="3588" width="48.85546875" style="125" customWidth="1"/>
    <col min="3589" max="3590" width="4.28515625" style="125" customWidth="1"/>
    <col min="3591" max="3591" width="6.5703125" style="125" customWidth="1"/>
    <col min="3592" max="3592" width="5.5703125" style="125" customWidth="1"/>
    <col min="3593" max="3593" width="13.5703125" style="125" customWidth="1"/>
    <col min="3594" max="3610" width="10.7109375" style="125" customWidth="1"/>
    <col min="3611" max="3840" width="9.140625" style="125"/>
    <col min="3841" max="3842" width="0" style="125" hidden="1" customWidth="1"/>
    <col min="3843" max="3843" width="7.42578125" style="125" customWidth="1"/>
    <col min="3844" max="3844" width="48.85546875" style="125" customWidth="1"/>
    <col min="3845" max="3846" width="4.28515625" style="125" customWidth="1"/>
    <col min="3847" max="3847" width="6.5703125" style="125" customWidth="1"/>
    <col min="3848" max="3848" width="5.5703125" style="125" customWidth="1"/>
    <col min="3849" max="3849" width="13.5703125" style="125" customWidth="1"/>
    <col min="3850" max="3866" width="10.7109375" style="125" customWidth="1"/>
    <col min="3867" max="4096" width="9.140625" style="125"/>
    <col min="4097" max="4098" width="0" style="125" hidden="1" customWidth="1"/>
    <col min="4099" max="4099" width="7.42578125" style="125" customWidth="1"/>
    <col min="4100" max="4100" width="48.85546875" style="125" customWidth="1"/>
    <col min="4101" max="4102" width="4.28515625" style="125" customWidth="1"/>
    <col min="4103" max="4103" width="6.5703125" style="125" customWidth="1"/>
    <col min="4104" max="4104" width="5.5703125" style="125" customWidth="1"/>
    <col min="4105" max="4105" width="13.5703125" style="125" customWidth="1"/>
    <col min="4106" max="4122" width="10.7109375" style="125" customWidth="1"/>
    <col min="4123" max="4352" width="9.140625" style="125"/>
    <col min="4353" max="4354" width="0" style="125" hidden="1" customWidth="1"/>
    <col min="4355" max="4355" width="7.42578125" style="125" customWidth="1"/>
    <col min="4356" max="4356" width="48.85546875" style="125" customWidth="1"/>
    <col min="4357" max="4358" width="4.28515625" style="125" customWidth="1"/>
    <col min="4359" max="4359" width="6.5703125" style="125" customWidth="1"/>
    <col min="4360" max="4360" width="5.5703125" style="125" customWidth="1"/>
    <col min="4361" max="4361" width="13.5703125" style="125" customWidth="1"/>
    <col min="4362" max="4378" width="10.7109375" style="125" customWidth="1"/>
    <col min="4379" max="4608" width="9.140625" style="125"/>
    <col min="4609" max="4610" width="0" style="125" hidden="1" customWidth="1"/>
    <col min="4611" max="4611" width="7.42578125" style="125" customWidth="1"/>
    <col min="4612" max="4612" width="48.85546875" style="125" customWidth="1"/>
    <col min="4613" max="4614" width="4.28515625" style="125" customWidth="1"/>
    <col min="4615" max="4615" width="6.5703125" style="125" customWidth="1"/>
    <col min="4616" max="4616" width="5.5703125" style="125" customWidth="1"/>
    <col min="4617" max="4617" width="13.5703125" style="125" customWidth="1"/>
    <col min="4618" max="4634" width="10.7109375" style="125" customWidth="1"/>
    <col min="4635" max="4864" width="9.140625" style="125"/>
    <col min="4865" max="4866" width="0" style="125" hidden="1" customWidth="1"/>
    <col min="4867" max="4867" width="7.42578125" style="125" customWidth="1"/>
    <col min="4868" max="4868" width="48.85546875" style="125" customWidth="1"/>
    <col min="4869" max="4870" width="4.28515625" style="125" customWidth="1"/>
    <col min="4871" max="4871" width="6.5703125" style="125" customWidth="1"/>
    <col min="4872" max="4872" width="5.5703125" style="125" customWidth="1"/>
    <col min="4873" max="4873" width="13.5703125" style="125" customWidth="1"/>
    <col min="4874" max="4890" width="10.7109375" style="125" customWidth="1"/>
    <col min="4891" max="5120" width="9.140625" style="125"/>
    <col min="5121" max="5122" width="0" style="125" hidden="1" customWidth="1"/>
    <col min="5123" max="5123" width="7.42578125" style="125" customWidth="1"/>
    <col min="5124" max="5124" width="48.85546875" style="125" customWidth="1"/>
    <col min="5125" max="5126" width="4.28515625" style="125" customWidth="1"/>
    <col min="5127" max="5127" width="6.5703125" style="125" customWidth="1"/>
    <col min="5128" max="5128" width="5.5703125" style="125" customWidth="1"/>
    <col min="5129" max="5129" width="13.5703125" style="125" customWidth="1"/>
    <col min="5130" max="5146" width="10.7109375" style="125" customWidth="1"/>
    <col min="5147" max="5376" width="9.140625" style="125"/>
    <col min="5377" max="5378" width="0" style="125" hidden="1" customWidth="1"/>
    <col min="5379" max="5379" width="7.42578125" style="125" customWidth="1"/>
    <col min="5380" max="5380" width="48.85546875" style="125" customWidth="1"/>
    <col min="5381" max="5382" width="4.28515625" style="125" customWidth="1"/>
    <col min="5383" max="5383" width="6.5703125" style="125" customWidth="1"/>
    <col min="5384" max="5384" width="5.5703125" style="125" customWidth="1"/>
    <col min="5385" max="5385" width="13.5703125" style="125" customWidth="1"/>
    <col min="5386" max="5402" width="10.7109375" style="125" customWidth="1"/>
    <col min="5403" max="5632" width="9.140625" style="125"/>
    <col min="5633" max="5634" width="0" style="125" hidden="1" customWidth="1"/>
    <col min="5635" max="5635" width="7.42578125" style="125" customWidth="1"/>
    <col min="5636" max="5636" width="48.85546875" style="125" customWidth="1"/>
    <col min="5637" max="5638" width="4.28515625" style="125" customWidth="1"/>
    <col min="5639" max="5639" width="6.5703125" style="125" customWidth="1"/>
    <col min="5640" max="5640" width="5.5703125" style="125" customWidth="1"/>
    <col min="5641" max="5641" width="13.5703125" style="125" customWidth="1"/>
    <col min="5642" max="5658" width="10.7109375" style="125" customWidth="1"/>
    <col min="5659" max="5888" width="9.140625" style="125"/>
    <col min="5889" max="5890" width="0" style="125" hidden="1" customWidth="1"/>
    <col min="5891" max="5891" width="7.42578125" style="125" customWidth="1"/>
    <col min="5892" max="5892" width="48.85546875" style="125" customWidth="1"/>
    <col min="5893" max="5894" width="4.28515625" style="125" customWidth="1"/>
    <col min="5895" max="5895" width="6.5703125" style="125" customWidth="1"/>
    <col min="5896" max="5896" width="5.5703125" style="125" customWidth="1"/>
    <col min="5897" max="5897" width="13.5703125" style="125" customWidth="1"/>
    <col min="5898" max="5914" width="10.7109375" style="125" customWidth="1"/>
    <col min="5915" max="6144" width="9.140625" style="125"/>
    <col min="6145" max="6146" width="0" style="125" hidden="1" customWidth="1"/>
    <col min="6147" max="6147" width="7.42578125" style="125" customWidth="1"/>
    <col min="6148" max="6148" width="48.85546875" style="125" customWidth="1"/>
    <col min="6149" max="6150" width="4.28515625" style="125" customWidth="1"/>
    <col min="6151" max="6151" width="6.5703125" style="125" customWidth="1"/>
    <col min="6152" max="6152" width="5.5703125" style="125" customWidth="1"/>
    <col min="6153" max="6153" width="13.5703125" style="125" customWidth="1"/>
    <col min="6154" max="6170" width="10.7109375" style="125" customWidth="1"/>
    <col min="6171" max="6400" width="9.140625" style="125"/>
    <col min="6401" max="6402" width="0" style="125" hidden="1" customWidth="1"/>
    <col min="6403" max="6403" width="7.42578125" style="125" customWidth="1"/>
    <col min="6404" max="6404" width="48.85546875" style="125" customWidth="1"/>
    <col min="6405" max="6406" width="4.28515625" style="125" customWidth="1"/>
    <col min="6407" max="6407" width="6.5703125" style="125" customWidth="1"/>
    <col min="6408" max="6408" width="5.5703125" style="125" customWidth="1"/>
    <col min="6409" max="6409" width="13.5703125" style="125" customWidth="1"/>
    <col min="6410" max="6426" width="10.7109375" style="125" customWidth="1"/>
    <col min="6427" max="6656" width="9.140625" style="125"/>
    <col min="6657" max="6658" width="0" style="125" hidden="1" customWidth="1"/>
    <col min="6659" max="6659" width="7.42578125" style="125" customWidth="1"/>
    <col min="6660" max="6660" width="48.85546875" style="125" customWidth="1"/>
    <col min="6661" max="6662" width="4.28515625" style="125" customWidth="1"/>
    <col min="6663" max="6663" width="6.5703125" style="125" customWidth="1"/>
    <col min="6664" max="6664" width="5.5703125" style="125" customWidth="1"/>
    <col min="6665" max="6665" width="13.5703125" style="125" customWidth="1"/>
    <col min="6666" max="6682" width="10.7109375" style="125" customWidth="1"/>
    <col min="6683" max="6912" width="9.140625" style="125"/>
    <col min="6913" max="6914" width="0" style="125" hidden="1" customWidth="1"/>
    <col min="6915" max="6915" width="7.42578125" style="125" customWidth="1"/>
    <col min="6916" max="6916" width="48.85546875" style="125" customWidth="1"/>
    <col min="6917" max="6918" width="4.28515625" style="125" customWidth="1"/>
    <col min="6919" max="6919" width="6.5703125" style="125" customWidth="1"/>
    <col min="6920" max="6920" width="5.5703125" style="125" customWidth="1"/>
    <col min="6921" max="6921" width="13.5703125" style="125" customWidth="1"/>
    <col min="6922" max="6938" width="10.7109375" style="125" customWidth="1"/>
    <col min="6939" max="7168" width="9.140625" style="125"/>
    <col min="7169" max="7170" width="0" style="125" hidden="1" customWidth="1"/>
    <col min="7171" max="7171" width="7.42578125" style="125" customWidth="1"/>
    <col min="7172" max="7172" width="48.85546875" style="125" customWidth="1"/>
    <col min="7173" max="7174" width="4.28515625" style="125" customWidth="1"/>
    <col min="7175" max="7175" width="6.5703125" style="125" customWidth="1"/>
    <col min="7176" max="7176" width="5.5703125" style="125" customWidth="1"/>
    <col min="7177" max="7177" width="13.5703125" style="125" customWidth="1"/>
    <col min="7178" max="7194" width="10.7109375" style="125" customWidth="1"/>
    <col min="7195" max="7424" width="9.140625" style="125"/>
    <col min="7425" max="7426" width="0" style="125" hidden="1" customWidth="1"/>
    <col min="7427" max="7427" width="7.42578125" style="125" customWidth="1"/>
    <col min="7428" max="7428" width="48.85546875" style="125" customWidth="1"/>
    <col min="7429" max="7430" width="4.28515625" style="125" customWidth="1"/>
    <col min="7431" max="7431" width="6.5703125" style="125" customWidth="1"/>
    <col min="7432" max="7432" width="5.5703125" style="125" customWidth="1"/>
    <col min="7433" max="7433" width="13.5703125" style="125" customWidth="1"/>
    <col min="7434" max="7450" width="10.7109375" style="125" customWidth="1"/>
    <col min="7451" max="7680" width="9.140625" style="125"/>
    <col min="7681" max="7682" width="0" style="125" hidden="1" customWidth="1"/>
    <col min="7683" max="7683" width="7.42578125" style="125" customWidth="1"/>
    <col min="7684" max="7684" width="48.85546875" style="125" customWidth="1"/>
    <col min="7685" max="7686" width="4.28515625" style="125" customWidth="1"/>
    <col min="7687" max="7687" width="6.5703125" style="125" customWidth="1"/>
    <col min="7688" max="7688" width="5.5703125" style="125" customWidth="1"/>
    <col min="7689" max="7689" width="13.5703125" style="125" customWidth="1"/>
    <col min="7690" max="7706" width="10.7109375" style="125" customWidth="1"/>
    <col min="7707" max="7936" width="9.140625" style="125"/>
    <col min="7937" max="7938" width="0" style="125" hidden="1" customWidth="1"/>
    <col min="7939" max="7939" width="7.42578125" style="125" customWidth="1"/>
    <col min="7940" max="7940" width="48.85546875" style="125" customWidth="1"/>
    <col min="7941" max="7942" width="4.28515625" style="125" customWidth="1"/>
    <col min="7943" max="7943" width="6.5703125" style="125" customWidth="1"/>
    <col min="7944" max="7944" width="5.5703125" style="125" customWidth="1"/>
    <col min="7945" max="7945" width="13.5703125" style="125" customWidth="1"/>
    <col min="7946" max="7962" width="10.7109375" style="125" customWidth="1"/>
    <col min="7963" max="8192" width="9.140625" style="125"/>
    <col min="8193" max="8194" width="0" style="125" hidden="1" customWidth="1"/>
    <col min="8195" max="8195" width="7.42578125" style="125" customWidth="1"/>
    <col min="8196" max="8196" width="48.85546875" style="125" customWidth="1"/>
    <col min="8197" max="8198" width="4.28515625" style="125" customWidth="1"/>
    <col min="8199" max="8199" width="6.5703125" style="125" customWidth="1"/>
    <col min="8200" max="8200" width="5.5703125" style="125" customWidth="1"/>
    <col min="8201" max="8201" width="13.5703125" style="125" customWidth="1"/>
    <col min="8202" max="8218" width="10.7109375" style="125" customWidth="1"/>
    <col min="8219" max="8448" width="9.140625" style="125"/>
    <col min="8449" max="8450" width="0" style="125" hidden="1" customWidth="1"/>
    <col min="8451" max="8451" width="7.42578125" style="125" customWidth="1"/>
    <col min="8452" max="8452" width="48.85546875" style="125" customWidth="1"/>
    <col min="8453" max="8454" width="4.28515625" style="125" customWidth="1"/>
    <col min="8455" max="8455" width="6.5703125" style="125" customWidth="1"/>
    <col min="8456" max="8456" width="5.5703125" style="125" customWidth="1"/>
    <col min="8457" max="8457" width="13.5703125" style="125" customWidth="1"/>
    <col min="8458" max="8474" width="10.7109375" style="125" customWidth="1"/>
    <col min="8475" max="8704" width="9.140625" style="125"/>
    <col min="8705" max="8706" width="0" style="125" hidden="1" customWidth="1"/>
    <col min="8707" max="8707" width="7.42578125" style="125" customWidth="1"/>
    <col min="8708" max="8708" width="48.85546875" style="125" customWidth="1"/>
    <col min="8709" max="8710" width="4.28515625" style="125" customWidth="1"/>
    <col min="8711" max="8711" width="6.5703125" style="125" customWidth="1"/>
    <col min="8712" max="8712" width="5.5703125" style="125" customWidth="1"/>
    <col min="8713" max="8713" width="13.5703125" style="125" customWidth="1"/>
    <col min="8714" max="8730" width="10.7109375" style="125" customWidth="1"/>
    <col min="8731" max="8960" width="9.140625" style="125"/>
    <col min="8961" max="8962" width="0" style="125" hidden="1" customWidth="1"/>
    <col min="8963" max="8963" width="7.42578125" style="125" customWidth="1"/>
    <col min="8964" max="8964" width="48.85546875" style="125" customWidth="1"/>
    <col min="8965" max="8966" width="4.28515625" style="125" customWidth="1"/>
    <col min="8967" max="8967" width="6.5703125" style="125" customWidth="1"/>
    <col min="8968" max="8968" width="5.5703125" style="125" customWidth="1"/>
    <col min="8969" max="8969" width="13.5703125" style="125" customWidth="1"/>
    <col min="8970" max="8986" width="10.7109375" style="125" customWidth="1"/>
    <col min="8987" max="9216" width="9.140625" style="125"/>
    <col min="9217" max="9218" width="0" style="125" hidden="1" customWidth="1"/>
    <col min="9219" max="9219" width="7.42578125" style="125" customWidth="1"/>
    <col min="9220" max="9220" width="48.85546875" style="125" customWidth="1"/>
    <col min="9221" max="9222" width="4.28515625" style="125" customWidth="1"/>
    <col min="9223" max="9223" width="6.5703125" style="125" customWidth="1"/>
    <col min="9224" max="9224" width="5.5703125" style="125" customWidth="1"/>
    <col min="9225" max="9225" width="13.5703125" style="125" customWidth="1"/>
    <col min="9226" max="9242" width="10.7109375" style="125" customWidth="1"/>
    <col min="9243" max="9472" width="9.140625" style="125"/>
    <col min="9473" max="9474" width="0" style="125" hidden="1" customWidth="1"/>
    <col min="9475" max="9475" width="7.42578125" style="125" customWidth="1"/>
    <col min="9476" max="9476" width="48.85546875" style="125" customWidth="1"/>
    <col min="9477" max="9478" width="4.28515625" style="125" customWidth="1"/>
    <col min="9479" max="9479" width="6.5703125" style="125" customWidth="1"/>
    <col min="9480" max="9480" width="5.5703125" style="125" customWidth="1"/>
    <col min="9481" max="9481" width="13.5703125" style="125" customWidth="1"/>
    <col min="9482" max="9498" width="10.7109375" style="125" customWidth="1"/>
    <col min="9499" max="9728" width="9.140625" style="125"/>
    <col min="9729" max="9730" width="0" style="125" hidden="1" customWidth="1"/>
    <col min="9731" max="9731" width="7.42578125" style="125" customWidth="1"/>
    <col min="9732" max="9732" width="48.85546875" style="125" customWidth="1"/>
    <col min="9733" max="9734" width="4.28515625" style="125" customWidth="1"/>
    <col min="9735" max="9735" width="6.5703125" style="125" customWidth="1"/>
    <col min="9736" max="9736" width="5.5703125" style="125" customWidth="1"/>
    <col min="9737" max="9737" width="13.5703125" style="125" customWidth="1"/>
    <col min="9738" max="9754" width="10.7109375" style="125" customWidth="1"/>
    <col min="9755" max="9984" width="9.140625" style="125"/>
    <col min="9985" max="9986" width="0" style="125" hidden="1" customWidth="1"/>
    <col min="9987" max="9987" width="7.42578125" style="125" customWidth="1"/>
    <col min="9988" max="9988" width="48.85546875" style="125" customWidth="1"/>
    <col min="9989" max="9990" width="4.28515625" style="125" customWidth="1"/>
    <col min="9991" max="9991" width="6.5703125" style="125" customWidth="1"/>
    <col min="9992" max="9992" width="5.5703125" style="125" customWidth="1"/>
    <col min="9993" max="9993" width="13.5703125" style="125" customWidth="1"/>
    <col min="9994" max="10010" width="10.7109375" style="125" customWidth="1"/>
    <col min="10011" max="10240" width="9.140625" style="125"/>
    <col min="10241" max="10242" width="0" style="125" hidden="1" customWidth="1"/>
    <col min="10243" max="10243" width="7.42578125" style="125" customWidth="1"/>
    <col min="10244" max="10244" width="48.85546875" style="125" customWidth="1"/>
    <col min="10245" max="10246" width="4.28515625" style="125" customWidth="1"/>
    <col min="10247" max="10247" width="6.5703125" style="125" customWidth="1"/>
    <col min="10248" max="10248" width="5.5703125" style="125" customWidth="1"/>
    <col min="10249" max="10249" width="13.5703125" style="125" customWidth="1"/>
    <col min="10250" max="10266" width="10.7109375" style="125" customWidth="1"/>
    <col min="10267" max="10496" width="9.140625" style="125"/>
    <col min="10497" max="10498" width="0" style="125" hidden="1" customWidth="1"/>
    <col min="10499" max="10499" width="7.42578125" style="125" customWidth="1"/>
    <col min="10500" max="10500" width="48.85546875" style="125" customWidth="1"/>
    <col min="10501" max="10502" width="4.28515625" style="125" customWidth="1"/>
    <col min="10503" max="10503" width="6.5703125" style="125" customWidth="1"/>
    <col min="10504" max="10504" width="5.5703125" style="125" customWidth="1"/>
    <col min="10505" max="10505" width="13.5703125" style="125" customWidth="1"/>
    <col min="10506" max="10522" width="10.7109375" style="125" customWidth="1"/>
    <col min="10523" max="10752" width="9.140625" style="125"/>
    <col min="10753" max="10754" width="0" style="125" hidden="1" customWidth="1"/>
    <col min="10755" max="10755" width="7.42578125" style="125" customWidth="1"/>
    <col min="10756" max="10756" width="48.85546875" style="125" customWidth="1"/>
    <col min="10757" max="10758" width="4.28515625" style="125" customWidth="1"/>
    <col min="10759" max="10759" width="6.5703125" style="125" customWidth="1"/>
    <col min="10760" max="10760" width="5.5703125" style="125" customWidth="1"/>
    <col min="10761" max="10761" width="13.5703125" style="125" customWidth="1"/>
    <col min="10762" max="10778" width="10.7109375" style="125" customWidth="1"/>
    <col min="10779" max="11008" width="9.140625" style="125"/>
    <col min="11009" max="11010" width="0" style="125" hidden="1" customWidth="1"/>
    <col min="11011" max="11011" width="7.42578125" style="125" customWidth="1"/>
    <col min="11012" max="11012" width="48.85546875" style="125" customWidth="1"/>
    <col min="11013" max="11014" width="4.28515625" style="125" customWidth="1"/>
    <col min="11015" max="11015" width="6.5703125" style="125" customWidth="1"/>
    <col min="11016" max="11016" width="5.5703125" style="125" customWidth="1"/>
    <col min="11017" max="11017" width="13.5703125" style="125" customWidth="1"/>
    <col min="11018" max="11034" width="10.7109375" style="125" customWidth="1"/>
    <col min="11035" max="11264" width="9.140625" style="125"/>
    <col min="11265" max="11266" width="0" style="125" hidden="1" customWidth="1"/>
    <col min="11267" max="11267" width="7.42578125" style="125" customWidth="1"/>
    <col min="11268" max="11268" width="48.85546875" style="125" customWidth="1"/>
    <col min="11269" max="11270" width="4.28515625" style="125" customWidth="1"/>
    <col min="11271" max="11271" width="6.5703125" style="125" customWidth="1"/>
    <col min="11272" max="11272" width="5.5703125" style="125" customWidth="1"/>
    <col min="11273" max="11273" width="13.5703125" style="125" customWidth="1"/>
    <col min="11274" max="11290" width="10.7109375" style="125" customWidth="1"/>
    <col min="11291" max="11520" width="9.140625" style="125"/>
    <col min="11521" max="11522" width="0" style="125" hidden="1" customWidth="1"/>
    <col min="11523" max="11523" width="7.42578125" style="125" customWidth="1"/>
    <col min="11524" max="11524" width="48.85546875" style="125" customWidth="1"/>
    <col min="11525" max="11526" width="4.28515625" style="125" customWidth="1"/>
    <col min="11527" max="11527" width="6.5703125" style="125" customWidth="1"/>
    <col min="11528" max="11528" width="5.5703125" style="125" customWidth="1"/>
    <col min="11529" max="11529" width="13.5703125" style="125" customWidth="1"/>
    <col min="11530" max="11546" width="10.7109375" style="125" customWidth="1"/>
    <col min="11547" max="11776" width="9.140625" style="125"/>
    <col min="11777" max="11778" width="0" style="125" hidden="1" customWidth="1"/>
    <col min="11779" max="11779" width="7.42578125" style="125" customWidth="1"/>
    <col min="11780" max="11780" width="48.85546875" style="125" customWidth="1"/>
    <col min="11781" max="11782" width="4.28515625" style="125" customWidth="1"/>
    <col min="11783" max="11783" width="6.5703125" style="125" customWidth="1"/>
    <col min="11784" max="11784" width="5.5703125" style="125" customWidth="1"/>
    <col min="11785" max="11785" width="13.5703125" style="125" customWidth="1"/>
    <col min="11786" max="11802" width="10.7109375" style="125" customWidth="1"/>
    <col min="11803" max="12032" width="9.140625" style="125"/>
    <col min="12033" max="12034" width="0" style="125" hidden="1" customWidth="1"/>
    <col min="12035" max="12035" width="7.42578125" style="125" customWidth="1"/>
    <col min="12036" max="12036" width="48.85546875" style="125" customWidth="1"/>
    <col min="12037" max="12038" width="4.28515625" style="125" customWidth="1"/>
    <col min="12039" max="12039" width="6.5703125" style="125" customWidth="1"/>
    <col min="12040" max="12040" width="5.5703125" style="125" customWidth="1"/>
    <col min="12041" max="12041" width="13.5703125" style="125" customWidth="1"/>
    <col min="12042" max="12058" width="10.7109375" style="125" customWidth="1"/>
    <col min="12059" max="12288" width="9.140625" style="125"/>
    <col min="12289" max="12290" width="0" style="125" hidden="1" customWidth="1"/>
    <col min="12291" max="12291" width="7.42578125" style="125" customWidth="1"/>
    <col min="12292" max="12292" width="48.85546875" style="125" customWidth="1"/>
    <col min="12293" max="12294" width="4.28515625" style="125" customWidth="1"/>
    <col min="12295" max="12295" width="6.5703125" style="125" customWidth="1"/>
    <col min="12296" max="12296" width="5.5703125" style="125" customWidth="1"/>
    <col min="12297" max="12297" width="13.5703125" style="125" customWidth="1"/>
    <col min="12298" max="12314" width="10.7109375" style="125" customWidth="1"/>
    <col min="12315" max="12544" width="9.140625" style="125"/>
    <col min="12545" max="12546" width="0" style="125" hidden="1" customWidth="1"/>
    <col min="12547" max="12547" width="7.42578125" style="125" customWidth="1"/>
    <col min="12548" max="12548" width="48.85546875" style="125" customWidth="1"/>
    <col min="12549" max="12550" width="4.28515625" style="125" customWidth="1"/>
    <col min="12551" max="12551" width="6.5703125" style="125" customWidth="1"/>
    <col min="12552" max="12552" width="5.5703125" style="125" customWidth="1"/>
    <col min="12553" max="12553" width="13.5703125" style="125" customWidth="1"/>
    <col min="12554" max="12570" width="10.7109375" style="125" customWidth="1"/>
    <col min="12571" max="12800" width="9.140625" style="125"/>
    <col min="12801" max="12802" width="0" style="125" hidden="1" customWidth="1"/>
    <col min="12803" max="12803" width="7.42578125" style="125" customWidth="1"/>
    <col min="12804" max="12804" width="48.85546875" style="125" customWidth="1"/>
    <col min="12805" max="12806" width="4.28515625" style="125" customWidth="1"/>
    <col min="12807" max="12807" width="6.5703125" style="125" customWidth="1"/>
    <col min="12808" max="12808" width="5.5703125" style="125" customWidth="1"/>
    <col min="12809" max="12809" width="13.5703125" style="125" customWidth="1"/>
    <col min="12810" max="12826" width="10.7109375" style="125" customWidth="1"/>
    <col min="12827" max="13056" width="9.140625" style="125"/>
    <col min="13057" max="13058" width="0" style="125" hidden="1" customWidth="1"/>
    <col min="13059" max="13059" width="7.42578125" style="125" customWidth="1"/>
    <col min="13060" max="13060" width="48.85546875" style="125" customWidth="1"/>
    <col min="13061" max="13062" width="4.28515625" style="125" customWidth="1"/>
    <col min="13063" max="13063" width="6.5703125" style="125" customWidth="1"/>
    <col min="13064" max="13064" width="5.5703125" style="125" customWidth="1"/>
    <col min="13065" max="13065" width="13.5703125" style="125" customWidth="1"/>
    <col min="13066" max="13082" width="10.7109375" style="125" customWidth="1"/>
    <col min="13083" max="13312" width="9.140625" style="125"/>
    <col min="13313" max="13314" width="0" style="125" hidden="1" customWidth="1"/>
    <col min="13315" max="13315" width="7.42578125" style="125" customWidth="1"/>
    <col min="13316" max="13316" width="48.85546875" style="125" customWidth="1"/>
    <col min="13317" max="13318" width="4.28515625" style="125" customWidth="1"/>
    <col min="13319" max="13319" width="6.5703125" style="125" customWidth="1"/>
    <col min="13320" max="13320" width="5.5703125" style="125" customWidth="1"/>
    <col min="13321" max="13321" width="13.5703125" style="125" customWidth="1"/>
    <col min="13322" max="13338" width="10.7109375" style="125" customWidth="1"/>
    <col min="13339" max="13568" width="9.140625" style="125"/>
    <col min="13569" max="13570" width="0" style="125" hidden="1" customWidth="1"/>
    <col min="13571" max="13571" width="7.42578125" style="125" customWidth="1"/>
    <col min="13572" max="13572" width="48.85546875" style="125" customWidth="1"/>
    <col min="13573" max="13574" width="4.28515625" style="125" customWidth="1"/>
    <col min="13575" max="13575" width="6.5703125" style="125" customWidth="1"/>
    <col min="13576" max="13576" width="5.5703125" style="125" customWidth="1"/>
    <col min="13577" max="13577" width="13.5703125" style="125" customWidth="1"/>
    <col min="13578" max="13594" width="10.7109375" style="125" customWidth="1"/>
    <col min="13595" max="13824" width="9.140625" style="125"/>
    <col min="13825" max="13826" width="0" style="125" hidden="1" customWidth="1"/>
    <col min="13827" max="13827" width="7.42578125" style="125" customWidth="1"/>
    <col min="13828" max="13828" width="48.85546875" style="125" customWidth="1"/>
    <col min="13829" max="13830" width="4.28515625" style="125" customWidth="1"/>
    <col min="13831" max="13831" width="6.5703125" style="125" customWidth="1"/>
    <col min="13832" max="13832" width="5.5703125" style="125" customWidth="1"/>
    <col min="13833" max="13833" width="13.5703125" style="125" customWidth="1"/>
    <col min="13834" max="13850" width="10.7109375" style="125" customWidth="1"/>
    <col min="13851" max="14080" width="9.140625" style="125"/>
    <col min="14081" max="14082" width="0" style="125" hidden="1" customWidth="1"/>
    <col min="14083" max="14083" width="7.42578125" style="125" customWidth="1"/>
    <col min="14084" max="14084" width="48.85546875" style="125" customWidth="1"/>
    <col min="14085" max="14086" width="4.28515625" style="125" customWidth="1"/>
    <col min="14087" max="14087" width="6.5703125" style="125" customWidth="1"/>
    <col min="14088" max="14088" width="5.5703125" style="125" customWidth="1"/>
    <col min="14089" max="14089" width="13.5703125" style="125" customWidth="1"/>
    <col min="14090" max="14106" width="10.7109375" style="125" customWidth="1"/>
    <col min="14107" max="14336" width="9.140625" style="125"/>
    <col min="14337" max="14338" width="0" style="125" hidden="1" customWidth="1"/>
    <col min="14339" max="14339" width="7.42578125" style="125" customWidth="1"/>
    <col min="14340" max="14340" width="48.85546875" style="125" customWidth="1"/>
    <col min="14341" max="14342" width="4.28515625" style="125" customWidth="1"/>
    <col min="14343" max="14343" width="6.5703125" style="125" customWidth="1"/>
    <col min="14344" max="14344" width="5.5703125" style="125" customWidth="1"/>
    <col min="14345" max="14345" width="13.5703125" style="125" customWidth="1"/>
    <col min="14346" max="14362" width="10.7109375" style="125" customWidth="1"/>
    <col min="14363" max="14592" width="9.140625" style="125"/>
    <col min="14593" max="14594" width="0" style="125" hidden="1" customWidth="1"/>
    <col min="14595" max="14595" width="7.42578125" style="125" customWidth="1"/>
    <col min="14596" max="14596" width="48.85546875" style="125" customWidth="1"/>
    <col min="14597" max="14598" width="4.28515625" style="125" customWidth="1"/>
    <col min="14599" max="14599" width="6.5703125" style="125" customWidth="1"/>
    <col min="14600" max="14600" width="5.5703125" style="125" customWidth="1"/>
    <col min="14601" max="14601" width="13.5703125" style="125" customWidth="1"/>
    <col min="14602" max="14618" width="10.7109375" style="125" customWidth="1"/>
    <col min="14619" max="14848" width="9.140625" style="125"/>
    <col min="14849" max="14850" width="0" style="125" hidden="1" customWidth="1"/>
    <col min="14851" max="14851" width="7.42578125" style="125" customWidth="1"/>
    <col min="14852" max="14852" width="48.85546875" style="125" customWidth="1"/>
    <col min="14853" max="14854" width="4.28515625" style="125" customWidth="1"/>
    <col min="14855" max="14855" width="6.5703125" style="125" customWidth="1"/>
    <col min="14856" max="14856" width="5.5703125" style="125" customWidth="1"/>
    <col min="14857" max="14857" width="13.5703125" style="125" customWidth="1"/>
    <col min="14858" max="14874" width="10.7109375" style="125" customWidth="1"/>
    <col min="14875" max="15104" width="9.140625" style="125"/>
    <col min="15105" max="15106" width="0" style="125" hidden="1" customWidth="1"/>
    <col min="15107" max="15107" width="7.42578125" style="125" customWidth="1"/>
    <col min="15108" max="15108" width="48.85546875" style="125" customWidth="1"/>
    <col min="15109" max="15110" width="4.28515625" style="125" customWidth="1"/>
    <col min="15111" max="15111" width="6.5703125" style="125" customWidth="1"/>
    <col min="15112" max="15112" width="5.5703125" style="125" customWidth="1"/>
    <col min="15113" max="15113" width="13.5703125" style="125" customWidth="1"/>
    <col min="15114" max="15130" width="10.7109375" style="125" customWidth="1"/>
    <col min="15131" max="15360" width="9.140625" style="125"/>
    <col min="15361" max="15362" width="0" style="125" hidden="1" customWidth="1"/>
    <col min="15363" max="15363" width="7.42578125" style="125" customWidth="1"/>
    <col min="15364" max="15364" width="48.85546875" style="125" customWidth="1"/>
    <col min="15365" max="15366" width="4.28515625" style="125" customWidth="1"/>
    <col min="15367" max="15367" width="6.5703125" style="125" customWidth="1"/>
    <col min="15368" max="15368" width="5.5703125" style="125" customWidth="1"/>
    <col min="15369" max="15369" width="13.5703125" style="125" customWidth="1"/>
    <col min="15370" max="15386" width="10.7109375" style="125" customWidth="1"/>
    <col min="15387" max="15616" width="9.140625" style="125"/>
    <col min="15617" max="15618" width="0" style="125" hidden="1" customWidth="1"/>
    <col min="15619" max="15619" width="7.42578125" style="125" customWidth="1"/>
    <col min="15620" max="15620" width="48.85546875" style="125" customWidth="1"/>
    <col min="15621" max="15622" width="4.28515625" style="125" customWidth="1"/>
    <col min="15623" max="15623" width="6.5703125" style="125" customWidth="1"/>
    <col min="15624" max="15624" width="5.5703125" style="125" customWidth="1"/>
    <col min="15625" max="15625" width="13.5703125" style="125" customWidth="1"/>
    <col min="15626" max="15642" width="10.7109375" style="125" customWidth="1"/>
    <col min="15643" max="15872" width="9.140625" style="125"/>
    <col min="15873" max="15874" width="0" style="125" hidden="1" customWidth="1"/>
    <col min="15875" max="15875" width="7.42578125" style="125" customWidth="1"/>
    <col min="15876" max="15876" width="48.85546875" style="125" customWidth="1"/>
    <col min="15877" max="15878" width="4.28515625" style="125" customWidth="1"/>
    <col min="15879" max="15879" width="6.5703125" style="125" customWidth="1"/>
    <col min="15880" max="15880" width="5.5703125" style="125" customWidth="1"/>
    <col min="15881" max="15881" width="13.5703125" style="125" customWidth="1"/>
    <col min="15882" max="15898" width="10.7109375" style="125" customWidth="1"/>
    <col min="15899" max="16128" width="9.140625" style="125"/>
    <col min="16129" max="16130" width="0" style="125" hidden="1" customWidth="1"/>
    <col min="16131" max="16131" width="7.42578125" style="125" customWidth="1"/>
    <col min="16132" max="16132" width="48.85546875" style="125" customWidth="1"/>
    <col min="16133" max="16134" width="4.28515625" style="125" customWidth="1"/>
    <col min="16135" max="16135" width="6.5703125" style="125" customWidth="1"/>
    <col min="16136" max="16136" width="5.5703125" style="125" customWidth="1"/>
    <col min="16137" max="16137" width="13.5703125" style="125" customWidth="1"/>
    <col min="16138" max="16154" width="10.7109375" style="125" customWidth="1"/>
    <col min="16155" max="16384" width="9.140625" style="125"/>
  </cols>
  <sheetData>
    <row r="1" spans="1:42" ht="41.25" customHeight="1" x14ac:dyDescent="0.4">
      <c r="A1" s="147"/>
      <c r="B1" s="294"/>
      <c r="C1" s="294"/>
      <c r="D1" s="1519" t="s">
        <v>518</v>
      </c>
      <c r="E1" s="1519"/>
      <c r="F1" s="1519"/>
      <c r="G1" s="1519"/>
      <c r="H1" s="1519"/>
      <c r="I1" s="1519"/>
      <c r="J1" s="1519"/>
      <c r="K1" s="1519"/>
      <c r="L1" s="1519"/>
      <c r="M1" s="1519"/>
      <c r="N1" s="1519"/>
      <c r="O1" s="1519"/>
      <c r="P1" s="1519"/>
      <c r="Q1" s="1519"/>
      <c r="R1" s="1519"/>
      <c r="S1" s="1519"/>
      <c r="T1" s="1519"/>
      <c r="U1" s="1519"/>
      <c r="V1" s="1519"/>
      <c r="W1" s="1519"/>
      <c r="X1" s="1519"/>
      <c r="Y1" s="1519"/>
      <c r="Z1" s="1519"/>
    </row>
    <row r="2" spans="1:42" ht="24.75" customHeight="1" x14ac:dyDescent="0.4">
      <c r="A2" s="147"/>
      <c r="B2" s="294"/>
      <c r="C2" s="294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</row>
    <row r="3" spans="1:42" ht="28.5" customHeight="1" x14ac:dyDescent="0.4">
      <c r="A3" s="147"/>
      <c r="B3" s="294"/>
      <c r="C3" s="294"/>
      <c r="D3" s="150" t="s">
        <v>0</v>
      </c>
      <c r="E3" s="151"/>
      <c r="F3" s="152"/>
      <c r="G3" s="153"/>
      <c r="H3" s="153"/>
      <c r="I3" s="154" t="s">
        <v>1</v>
      </c>
      <c r="J3" s="32"/>
      <c r="K3" s="32"/>
      <c r="L3" s="32"/>
      <c r="M3" s="155"/>
      <c r="N3" s="149"/>
      <c r="O3" s="295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</row>
    <row r="4" spans="1:42" ht="28.5" customHeight="1" x14ac:dyDescent="0.4">
      <c r="A4" s="147"/>
      <c r="B4" s="294"/>
      <c r="C4" s="294"/>
      <c r="D4" s="150"/>
      <c r="E4" s="151"/>
      <c r="F4" s="296"/>
      <c r="G4" s="153"/>
      <c r="H4" s="153"/>
      <c r="I4" s="154" t="s">
        <v>60</v>
      </c>
      <c r="J4" s="32"/>
      <c r="K4" s="32"/>
      <c r="L4" s="32"/>
      <c r="M4" s="155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1:42" ht="28.5" customHeight="1" x14ac:dyDescent="0.25">
      <c r="A5" s="147"/>
      <c r="B5" s="147"/>
      <c r="C5" s="147"/>
      <c r="D5" s="297"/>
      <c r="E5" s="298"/>
      <c r="F5" s="298"/>
      <c r="G5" s="298"/>
      <c r="H5" s="298"/>
      <c r="I5" s="299"/>
      <c r="J5" s="299"/>
      <c r="K5" s="299"/>
      <c r="L5" s="299"/>
      <c r="M5" s="299"/>
      <c r="N5" s="299"/>
      <c r="O5" s="299"/>
      <c r="P5" s="300"/>
      <c r="Z5" s="301" t="s">
        <v>3</v>
      </c>
    </row>
    <row r="6" spans="1:42" ht="28.5" customHeight="1" thickBot="1" x14ac:dyDescent="0.25">
      <c r="A6" s="147"/>
      <c r="B6" s="147"/>
      <c r="C6" s="147"/>
      <c r="I6" s="158" t="s">
        <v>61</v>
      </c>
      <c r="J6" s="158" t="s">
        <v>62</v>
      </c>
      <c r="K6" s="158" t="s">
        <v>63</v>
      </c>
      <c r="L6" s="158" t="s">
        <v>64</v>
      </c>
      <c r="M6" s="158" t="s">
        <v>65</v>
      </c>
      <c r="N6" s="158" t="s">
        <v>66</v>
      </c>
      <c r="O6" s="159" t="s">
        <v>67</v>
      </c>
      <c r="P6" s="159" t="s">
        <v>68</v>
      </c>
      <c r="Q6" s="159" t="s">
        <v>69</v>
      </c>
      <c r="R6" s="159" t="s">
        <v>70</v>
      </c>
      <c r="S6" s="159" t="s">
        <v>71</v>
      </c>
      <c r="T6" s="159" t="s">
        <v>72</v>
      </c>
      <c r="U6" s="159" t="s">
        <v>73</v>
      </c>
      <c r="V6" s="159" t="s">
        <v>74</v>
      </c>
      <c r="W6" s="159" t="s">
        <v>75</v>
      </c>
      <c r="X6" s="158" t="s">
        <v>76</v>
      </c>
      <c r="Y6" s="158" t="s">
        <v>77</v>
      </c>
      <c r="Z6" s="158" t="s">
        <v>78</v>
      </c>
    </row>
    <row r="7" spans="1:42" ht="28.5" customHeight="1" thickBot="1" x14ac:dyDescent="0.25">
      <c r="A7" s="147"/>
      <c r="B7" s="147"/>
      <c r="C7" s="302"/>
      <c r="D7" s="1520" t="s">
        <v>4</v>
      </c>
      <c r="E7" s="1523" t="s">
        <v>5</v>
      </c>
      <c r="F7" s="1524" t="s">
        <v>6</v>
      </c>
      <c r="G7" s="1499" t="s">
        <v>7</v>
      </c>
      <c r="H7" s="1499"/>
      <c r="I7" s="1525" t="s">
        <v>8</v>
      </c>
      <c r="J7" s="161" t="s">
        <v>9</v>
      </c>
      <c r="K7" s="161" t="s">
        <v>10</v>
      </c>
      <c r="L7" s="162" t="s">
        <v>11</v>
      </c>
      <c r="M7" s="1526" t="s">
        <v>98</v>
      </c>
      <c r="N7" s="1526"/>
      <c r="O7" s="1526"/>
      <c r="P7" s="1526"/>
      <c r="Q7" s="1527" t="s">
        <v>100</v>
      </c>
      <c r="R7" s="1527"/>
      <c r="S7" s="1527"/>
      <c r="T7" s="1527"/>
      <c r="U7" s="1527"/>
      <c r="V7" s="1527"/>
      <c r="W7" s="1527"/>
      <c r="X7" s="1527"/>
      <c r="Y7" s="1527"/>
      <c r="Z7" s="1528" t="s">
        <v>109</v>
      </c>
    </row>
    <row r="8" spans="1:42" ht="28.5" customHeight="1" thickBot="1" x14ac:dyDescent="0.25">
      <c r="A8" s="1531" t="s">
        <v>12</v>
      </c>
      <c r="B8" s="1532" t="s">
        <v>13</v>
      </c>
      <c r="C8" s="1533" t="s">
        <v>14</v>
      </c>
      <c r="D8" s="1521"/>
      <c r="E8" s="1523"/>
      <c r="F8" s="1524"/>
      <c r="G8" s="1535" t="s">
        <v>15</v>
      </c>
      <c r="H8" s="1536" t="s">
        <v>16</v>
      </c>
      <c r="I8" s="1525"/>
      <c r="J8" s="1543" t="s">
        <v>110</v>
      </c>
      <c r="K8" s="1529" t="s">
        <v>111</v>
      </c>
      <c r="L8" s="1539" t="s">
        <v>112</v>
      </c>
      <c r="M8" s="1540" t="s">
        <v>113</v>
      </c>
      <c r="N8" s="1541" t="s">
        <v>17</v>
      </c>
      <c r="O8" s="1542" t="s">
        <v>18</v>
      </c>
      <c r="P8" s="1530" t="s">
        <v>79</v>
      </c>
      <c r="Q8" s="1504" t="s">
        <v>20</v>
      </c>
      <c r="R8" s="1504"/>
      <c r="S8" s="1504"/>
      <c r="T8" s="1504" t="s">
        <v>86</v>
      </c>
      <c r="U8" s="1504"/>
      <c r="V8" s="1504"/>
      <c r="W8" s="1504" t="s">
        <v>99</v>
      </c>
      <c r="X8" s="1504"/>
      <c r="Y8" s="1504"/>
      <c r="Z8" s="1528"/>
    </row>
    <row r="9" spans="1:42" ht="28.5" customHeight="1" thickBot="1" x14ac:dyDescent="0.25">
      <c r="A9" s="1531"/>
      <c r="B9" s="1532"/>
      <c r="C9" s="1534"/>
      <c r="D9" s="1522"/>
      <c r="E9" s="1523"/>
      <c r="F9" s="1524"/>
      <c r="G9" s="1535"/>
      <c r="H9" s="1536"/>
      <c r="I9" s="1525"/>
      <c r="J9" s="1543"/>
      <c r="K9" s="1529"/>
      <c r="L9" s="1539"/>
      <c r="M9" s="1540"/>
      <c r="N9" s="1541"/>
      <c r="O9" s="1542"/>
      <c r="P9" s="1530"/>
      <c r="Q9" s="163" t="s">
        <v>22</v>
      </c>
      <c r="R9" s="164" t="s">
        <v>23</v>
      </c>
      <c r="S9" s="165" t="s">
        <v>24</v>
      </c>
      <c r="T9" s="163" t="s">
        <v>22</v>
      </c>
      <c r="U9" s="164" t="s">
        <v>23</v>
      </c>
      <c r="V9" s="165" t="s">
        <v>24</v>
      </c>
      <c r="W9" s="163" t="s">
        <v>22</v>
      </c>
      <c r="X9" s="164" t="s">
        <v>23</v>
      </c>
      <c r="Y9" s="165" t="s">
        <v>24</v>
      </c>
      <c r="Z9" s="1528"/>
    </row>
    <row r="10" spans="1:42" ht="28.5" customHeight="1" thickBot="1" x14ac:dyDescent="0.25">
      <c r="A10" s="166"/>
      <c r="B10" s="303"/>
      <c r="C10" s="304"/>
      <c r="D10" s="305" t="s">
        <v>82</v>
      </c>
      <c r="E10" s="169"/>
      <c r="F10" s="169"/>
      <c r="G10" s="170"/>
      <c r="H10" s="169"/>
      <c r="I10" s="171"/>
      <c r="J10" s="172"/>
      <c r="K10" s="172"/>
      <c r="L10" s="306"/>
      <c r="M10" s="173"/>
      <c r="N10" s="174"/>
      <c r="O10" s="173"/>
      <c r="P10" s="175"/>
      <c r="Q10" s="174"/>
      <c r="R10" s="179"/>
      <c r="S10" s="180"/>
      <c r="T10" s="174"/>
      <c r="U10" s="179"/>
      <c r="V10" s="180"/>
      <c r="W10" s="174"/>
      <c r="X10" s="179"/>
      <c r="Y10" s="180"/>
      <c r="Z10" s="175"/>
    </row>
    <row r="11" spans="1:42" ht="28.5" customHeight="1" x14ac:dyDescent="0.25">
      <c r="A11" s="307">
        <v>2321</v>
      </c>
      <c r="B11" s="308">
        <v>6121</v>
      </c>
      <c r="C11" s="309">
        <v>778</v>
      </c>
      <c r="D11" s="310" t="s">
        <v>152</v>
      </c>
      <c r="E11" s="311" t="s">
        <v>127</v>
      </c>
      <c r="F11" s="312">
        <v>400</v>
      </c>
      <c r="G11" s="312">
        <v>2004</v>
      </c>
      <c r="H11" s="313">
        <v>2018</v>
      </c>
      <c r="I11" s="208">
        <f>J11+K11+L11+SUM(Q11:Z11)</f>
        <v>26339</v>
      </c>
      <c r="J11" s="314">
        <v>789</v>
      </c>
      <c r="K11" s="315">
        <v>5550</v>
      </c>
      <c r="L11" s="316">
        <f t="shared" ref="L11:L72" si="0">M11+N11+O11+P11</f>
        <v>0</v>
      </c>
      <c r="M11" s="317">
        <f>5000-5000</f>
        <v>0</v>
      </c>
      <c r="N11" s="318">
        <v>0</v>
      </c>
      <c r="O11" s="319">
        <v>0</v>
      </c>
      <c r="P11" s="315">
        <v>0</v>
      </c>
      <c r="Q11" s="320">
        <v>20000</v>
      </c>
      <c r="R11" s="319">
        <v>0</v>
      </c>
      <c r="S11" s="315">
        <v>0</v>
      </c>
      <c r="T11" s="320">
        <v>0</v>
      </c>
      <c r="U11" s="319">
        <v>0</v>
      </c>
      <c r="V11" s="315">
        <v>0</v>
      </c>
      <c r="W11" s="320">
        <v>0</v>
      </c>
      <c r="X11" s="319">
        <v>0</v>
      </c>
      <c r="Y11" s="315">
        <v>0</v>
      </c>
      <c r="Z11" s="321">
        <v>0</v>
      </c>
    </row>
    <row r="12" spans="1:42" s="202" customFormat="1" ht="28.5" customHeight="1" x14ac:dyDescent="0.25">
      <c r="A12" s="240">
        <v>2321</v>
      </c>
      <c r="B12" s="241">
        <v>6121</v>
      </c>
      <c r="C12" s="322">
        <v>7039</v>
      </c>
      <c r="D12" s="323" t="s">
        <v>153</v>
      </c>
      <c r="E12" s="311" t="s">
        <v>142</v>
      </c>
      <c r="F12" s="312">
        <v>400</v>
      </c>
      <c r="G12" s="312">
        <v>2004</v>
      </c>
      <c r="H12" s="313">
        <v>2020</v>
      </c>
      <c r="I12" s="208">
        <f t="shared" ref="I12:I72" si="1">J12+K12+L12+SUM(Q12:Z12)</f>
        <v>99392</v>
      </c>
      <c r="J12" s="314">
        <v>49684</v>
      </c>
      <c r="K12" s="315">
        <v>21308</v>
      </c>
      <c r="L12" s="324">
        <f t="shared" si="0"/>
        <v>18400</v>
      </c>
      <c r="M12" s="317">
        <v>2400</v>
      </c>
      <c r="N12" s="318">
        <v>16000</v>
      </c>
      <c r="O12" s="319">
        <v>0</v>
      </c>
      <c r="P12" s="315">
        <v>0</v>
      </c>
      <c r="Q12" s="320">
        <v>10000</v>
      </c>
      <c r="R12" s="319">
        <v>0</v>
      </c>
      <c r="S12" s="315">
        <v>0</v>
      </c>
      <c r="T12" s="320">
        <v>0</v>
      </c>
      <c r="U12" s="319">
        <v>0</v>
      </c>
      <c r="V12" s="315">
        <v>0</v>
      </c>
      <c r="W12" s="320">
        <v>0</v>
      </c>
      <c r="X12" s="319">
        <v>0</v>
      </c>
      <c r="Y12" s="315">
        <v>0</v>
      </c>
      <c r="Z12" s="321">
        <v>0</v>
      </c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</row>
    <row r="13" spans="1:42" s="202" customFormat="1" ht="28.5" customHeight="1" x14ac:dyDescent="0.25">
      <c r="A13" s="240">
        <v>2321</v>
      </c>
      <c r="B13" s="241">
        <v>6121</v>
      </c>
      <c r="C13" s="322">
        <v>7040</v>
      </c>
      <c r="D13" s="323" t="s">
        <v>154</v>
      </c>
      <c r="E13" s="311" t="s">
        <v>142</v>
      </c>
      <c r="F13" s="312">
        <v>400</v>
      </c>
      <c r="G13" s="312">
        <v>2004</v>
      </c>
      <c r="H13" s="313">
        <v>2020</v>
      </c>
      <c r="I13" s="208">
        <f t="shared" si="1"/>
        <v>241620</v>
      </c>
      <c r="J13" s="314">
        <v>32065</v>
      </c>
      <c r="K13" s="315">
        <v>38131</v>
      </c>
      <c r="L13" s="324">
        <f t="shared" si="0"/>
        <v>104000</v>
      </c>
      <c r="M13" s="317">
        <v>53000</v>
      </c>
      <c r="N13" s="318">
        <v>30000</v>
      </c>
      <c r="O13" s="319">
        <v>21000</v>
      </c>
      <c r="P13" s="315">
        <v>0</v>
      </c>
      <c r="Q13" s="320">
        <v>50000</v>
      </c>
      <c r="R13" s="319">
        <v>17424</v>
      </c>
      <c r="S13" s="315">
        <v>0</v>
      </c>
      <c r="T13" s="320">
        <v>0</v>
      </c>
      <c r="U13" s="319">
        <v>0</v>
      </c>
      <c r="V13" s="315">
        <v>0</v>
      </c>
      <c r="W13" s="320">
        <v>0</v>
      </c>
      <c r="X13" s="319">
        <v>0</v>
      </c>
      <c r="Y13" s="315">
        <v>0</v>
      </c>
      <c r="Z13" s="321">
        <v>0</v>
      </c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</row>
    <row r="14" spans="1:42" s="202" customFormat="1" ht="28.5" customHeight="1" x14ac:dyDescent="0.25">
      <c r="A14" s="240">
        <v>2321</v>
      </c>
      <c r="B14" s="241">
        <v>6121</v>
      </c>
      <c r="C14" s="325">
        <v>7049</v>
      </c>
      <c r="D14" s="326" t="s">
        <v>155</v>
      </c>
      <c r="E14" s="327" t="s">
        <v>142</v>
      </c>
      <c r="F14" s="328">
        <v>400</v>
      </c>
      <c r="G14" s="328">
        <v>2005</v>
      </c>
      <c r="H14" s="329">
        <v>2020</v>
      </c>
      <c r="I14" s="208">
        <f t="shared" si="1"/>
        <v>25500</v>
      </c>
      <c r="J14" s="314">
        <v>50</v>
      </c>
      <c r="K14" s="315">
        <v>450</v>
      </c>
      <c r="L14" s="324">
        <f t="shared" si="0"/>
        <v>5000</v>
      </c>
      <c r="M14" s="317">
        <v>0</v>
      </c>
      <c r="N14" s="318">
        <v>5000</v>
      </c>
      <c r="O14" s="319">
        <v>0</v>
      </c>
      <c r="P14" s="315">
        <v>0</v>
      </c>
      <c r="Q14" s="320">
        <f>10000-10000</f>
        <v>0</v>
      </c>
      <c r="R14" s="319">
        <v>0</v>
      </c>
      <c r="S14" s="315">
        <v>0</v>
      </c>
      <c r="T14" s="320">
        <v>10000</v>
      </c>
      <c r="U14" s="319">
        <v>0</v>
      </c>
      <c r="V14" s="315">
        <v>0</v>
      </c>
      <c r="W14" s="320">
        <v>10000</v>
      </c>
      <c r="X14" s="319">
        <v>0</v>
      </c>
      <c r="Y14" s="315">
        <v>0</v>
      </c>
      <c r="Z14" s="321">
        <v>0</v>
      </c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</row>
    <row r="15" spans="1:42" s="29" customFormat="1" ht="25.5" customHeight="1" x14ac:dyDescent="0.25">
      <c r="A15" s="227">
        <v>2321</v>
      </c>
      <c r="B15" s="228">
        <v>6121</v>
      </c>
      <c r="C15" s="322">
        <v>7080</v>
      </c>
      <c r="D15" s="323" t="s">
        <v>156</v>
      </c>
      <c r="E15" s="311" t="s">
        <v>157</v>
      </c>
      <c r="F15" s="312">
        <v>400</v>
      </c>
      <c r="G15" s="312">
        <v>2005</v>
      </c>
      <c r="H15" s="313">
        <v>2019</v>
      </c>
      <c r="I15" s="208">
        <f t="shared" si="1"/>
        <v>29035</v>
      </c>
      <c r="J15" s="314">
        <v>23436</v>
      </c>
      <c r="K15" s="315">
        <v>4986</v>
      </c>
      <c r="L15" s="324">
        <f t="shared" si="0"/>
        <v>613</v>
      </c>
      <c r="M15" s="317">
        <v>613</v>
      </c>
      <c r="N15" s="318">
        <v>0</v>
      </c>
      <c r="O15" s="319">
        <v>0</v>
      </c>
      <c r="P15" s="315">
        <v>0</v>
      </c>
      <c r="Q15" s="320">
        <v>0</v>
      </c>
      <c r="R15" s="319">
        <v>0</v>
      </c>
      <c r="S15" s="315">
        <v>0</v>
      </c>
      <c r="T15" s="320">
        <v>0</v>
      </c>
      <c r="U15" s="319">
        <v>0</v>
      </c>
      <c r="V15" s="315">
        <v>0</v>
      </c>
      <c r="W15" s="320">
        <v>0</v>
      </c>
      <c r="X15" s="319">
        <v>0</v>
      </c>
      <c r="Y15" s="315">
        <v>0</v>
      </c>
      <c r="Z15" s="321">
        <v>0</v>
      </c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</row>
    <row r="16" spans="1:42" s="202" customFormat="1" ht="28.5" customHeight="1" x14ac:dyDescent="0.25">
      <c r="A16" s="240">
        <v>2321</v>
      </c>
      <c r="B16" s="241">
        <v>6121</v>
      </c>
      <c r="C16" s="205">
        <v>7081</v>
      </c>
      <c r="D16" s="330" t="s">
        <v>158</v>
      </c>
      <c r="E16" s="311" t="s">
        <v>159</v>
      </c>
      <c r="F16" s="312">
        <v>400</v>
      </c>
      <c r="G16" s="312">
        <v>2004</v>
      </c>
      <c r="H16" s="313">
        <v>2022</v>
      </c>
      <c r="I16" s="208">
        <f t="shared" si="1"/>
        <v>297300</v>
      </c>
      <c r="J16" s="314">
        <v>56380</v>
      </c>
      <c r="K16" s="315">
        <v>3000</v>
      </c>
      <c r="L16" s="324">
        <f t="shared" si="0"/>
        <v>7200</v>
      </c>
      <c r="M16" s="317">
        <v>6200</v>
      </c>
      <c r="N16" s="318">
        <v>1000</v>
      </c>
      <c r="O16" s="319">
        <v>0</v>
      </c>
      <c r="P16" s="315">
        <v>0</v>
      </c>
      <c r="Q16" s="320">
        <v>52000</v>
      </c>
      <c r="R16" s="319">
        <v>0</v>
      </c>
      <c r="S16" s="315">
        <v>0</v>
      </c>
      <c r="T16" s="320">
        <v>54000</v>
      </c>
      <c r="U16" s="319">
        <v>0</v>
      </c>
      <c r="V16" s="315">
        <v>0</v>
      </c>
      <c r="W16" s="320">
        <v>55000</v>
      </c>
      <c r="X16" s="319">
        <v>0</v>
      </c>
      <c r="Y16" s="315">
        <v>0</v>
      </c>
      <c r="Z16" s="321">
        <v>69720</v>
      </c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</row>
    <row r="17" spans="1:42" s="202" customFormat="1" ht="28.5" customHeight="1" x14ac:dyDescent="0.25">
      <c r="A17" s="240">
        <v>2321</v>
      </c>
      <c r="B17" s="241">
        <v>6121</v>
      </c>
      <c r="C17" s="205">
        <v>7088</v>
      </c>
      <c r="D17" s="330" t="s">
        <v>160</v>
      </c>
      <c r="E17" s="311" t="s">
        <v>145</v>
      </c>
      <c r="F17" s="312">
        <v>400</v>
      </c>
      <c r="G17" s="312">
        <v>2004</v>
      </c>
      <c r="H17" s="313">
        <v>2021</v>
      </c>
      <c r="I17" s="208">
        <f t="shared" si="1"/>
        <v>71300</v>
      </c>
      <c r="J17" s="314">
        <v>17472</v>
      </c>
      <c r="K17" s="315">
        <v>1000</v>
      </c>
      <c r="L17" s="324">
        <f t="shared" si="0"/>
        <v>6000</v>
      </c>
      <c r="M17" s="317">
        <v>5000</v>
      </c>
      <c r="N17" s="318">
        <v>1000</v>
      </c>
      <c r="O17" s="319">
        <v>0</v>
      </c>
      <c r="P17" s="315">
        <v>0</v>
      </c>
      <c r="Q17" s="320">
        <v>24600</v>
      </c>
      <c r="R17" s="319">
        <v>0</v>
      </c>
      <c r="S17" s="315">
        <v>0</v>
      </c>
      <c r="T17" s="320">
        <v>20000</v>
      </c>
      <c r="U17" s="319">
        <v>0</v>
      </c>
      <c r="V17" s="315">
        <v>0</v>
      </c>
      <c r="W17" s="320">
        <v>2228</v>
      </c>
      <c r="X17" s="319">
        <v>0</v>
      </c>
      <c r="Y17" s="315">
        <v>0</v>
      </c>
      <c r="Z17" s="321">
        <v>0</v>
      </c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</row>
    <row r="18" spans="1:42" s="202" customFormat="1" ht="28.5" customHeight="1" x14ac:dyDescent="0.25">
      <c r="A18" s="240">
        <v>2321</v>
      </c>
      <c r="B18" s="241">
        <v>6121</v>
      </c>
      <c r="C18" s="325">
        <v>7089</v>
      </c>
      <c r="D18" s="326" t="s">
        <v>161</v>
      </c>
      <c r="E18" s="327" t="s">
        <v>127</v>
      </c>
      <c r="F18" s="328">
        <v>400</v>
      </c>
      <c r="G18" s="328">
        <v>2011</v>
      </c>
      <c r="H18" s="329">
        <v>2018</v>
      </c>
      <c r="I18" s="208">
        <f t="shared" si="1"/>
        <v>61225</v>
      </c>
      <c r="J18" s="314">
        <v>31125</v>
      </c>
      <c r="K18" s="315">
        <v>100</v>
      </c>
      <c r="L18" s="324">
        <f t="shared" si="0"/>
        <v>20000</v>
      </c>
      <c r="M18" s="317">
        <v>0</v>
      </c>
      <c r="N18" s="318">
        <v>20000</v>
      </c>
      <c r="O18" s="319">
        <v>0</v>
      </c>
      <c r="P18" s="315">
        <v>0</v>
      </c>
      <c r="Q18" s="320">
        <v>10000</v>
      </c>
      <c r="R18" s="319">
        <v>0</v>
      </c>
      <c r="S18" s="315">
        <v>0</v>
      </c>
      <c r="T18" s="320">
        <v>0</v>
      </c>
      <c r="U18" s="319">
        <v>0</v>
      </c>
      <c r="V18" s="315">
        <v>0</v>
      </c>
      <c r="W18" s="320">
        <v>0</v>
      </c>
      <c r="X18" s="319">
        <v>0</v>
      </c>
      <c r="Y18" s="315">
        <v>0</v>
      </c>
      <c r="Z18" s="321">
        <v>0</v>
      </c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</row>
    <row r="19" spans="1:42" s="202" customFormat="1" ht="28.5" customHeight="1" x14ac:dyDescent="0.25">
      <c r="A19" s="240">
        <v>2321</v>
      </c>
      <c r="B19" s="241">
        <v>6121</v>
      </c>
      <c r="C19" s="205">
        <v>7090</v>
      </c>
      <c r="D19" s="330" t="s">
        <v>162</v>
      </c>
      <c r="E19" s="327" t="s">
        <v>163</v>
      </c>
      <c r="F19" s="312">
        <v>400</v>
      </c>
      <c r="G19" s="312">
        <v>2016</v>
      </c>
      <c r="H19" s="313">
        <v>2020</v>
      </c>
      <c r="I19" s="208">
        <f t="shared" si="1"/>
        <v>76829</v>
      </c>
      <c r="J19" s="314">
        <v>930</v>
      </c>
      <c r="K19" s="315">
        <v>39</v>
      </c>
      <c r="L19" s="324">
        <f t="shared" si="0"/>
        <v>860</v>
      </c>
      <c r="M19" s="317">
        <f>100+760</f>
        <v>860</v>
      </c>
      <c r="N19" s="318">
        <v>0</v>
      </c>
      <c r="O19" s="319">
        <v>0</v>
      </c>
      <c r="P19" s="315">
        <v>0</v>
      </c>
      <c r="Q19" s="320">
        <v>30000</v>
      </c>
      <c r="R19" s="319">
        <v>0</v>
      </c>
      <c r="S19" s="315">
        <v>0</v>
      </c>
      <c r="T19" s="320">
        <v>30000</v>
      </c>
      <c r="U19" s="319">
        <v>0</v>
      </c>
      <c r="V19" s="315">
        <v>0</v>
      </c>
      <c r="W19" s="320">
        <v>15000</v>
      </c>
      <c r="X19" s="319">
        <v>0</v>
      </c>
      <c r="Y19" s="315">
        <v>0</v>
      </c>
      <c r="Z19" s="321">
        <v>0</v>
      </c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</row>
    <row r="20" spans="1:42" s="202" customFormat="1" ht="28.5" customHeight="1" x14ac:dyDescent="0.25">
      <c r="A20" s="240">
        <v>2321</v>
      </c>
      <c r="B20" s="241">
        <v>6121</v>
      </c>
      <c r="C20" s="325">
        <v>7091</v>
      </c>
      <c r="D20" s="326" t="s">
        <v>164</v>
      </c>
      <c r="E20" s="311" t="s">
        <v>157</v>
      </c>
      <c r="F20" s="312">
        <v>400</v>
      </c>
      <c r="G20" s="312">
        <v>2005</v>
      </c>
      <c r="H20" s="313">
        <v>2021</v>
      </c>
      <c r="I20" s="208">
        <f t="shared" si="1"/>
        <v>186039</v>
      </c>
      <c r="J20" s="314">
        <v>4830</v>
      </c>
      <c r="K20" s="315">
        <v>809</v>
      </c>
      <c r="L20" s="324">
        <f t="shared" si="0"/>
        <v>30400</v>
      </c>
      <c r="M20" s="317">
        <v>5400</v>
      </c>
      <c r="N20" s="318">
        <v>25000</v>
      </c>
      <c r="O20" s="319">
        <v>0</v>
      </c>
      <c r="P20" s="315">
        <v>0</v>
      </c>
      <c r="Q20" s="320">
        <f>100000-100000</f>
        <v>0</v>
      </c>
      <c r="R20" s="319">
        <v>0</v>
      </c>
      <c r="S20" s="315">
        <v>0</v>
      </c>
      <c r="T20" s="320">
        <v>40000</v>
      </c>
      <c r="U20" s="319">
        <v>0</v>
      </c>
      <c r="V20" s="315">
        <v>0</v>
      </c>
      <c r="W20" s="320">
        <v>40000</v>
      </c>
      <c r="X20" s="319">
        <v>0</v>
      </c>
      <c r="Y20" s="315">
        <v>0</v>
      </c>
      <c r="Z20" s="321">
        <v>70000</v>
      </c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</row>
    <row r="21" spans="1:42" s="202" customFormat="1" ht="28.5" customHeight="1" x14ac:dyDescent="0.25">
      <c r="A21" s="240">
        <v>2321</v>
      </c>
      <c r="B21" s="241">
        <v>6121</v>
      </c>
      <c r="C21" s="325">
        <v>7092</v>
      </c>
      <c r="D21" s="331" t="s">
        <v>165</v>
      </c>
      <c r="E21" s="327" t="s">
        <v>123</v>
      </c>
      <c r="F21" s="312">
        <v>400</v>
      </c>
      <c r="G21" s="312">
        <v>2009</v>
      </c>
      <c r="H21" s="313">
        <v>2021</v>
      </c>
      <c r="I21" s="208">
        <f t="shared" si="1"/>
        <v>162642</v>
      </c>
      <c r="J21" s="314">
        <v>10642</v>
      </c>
      <c r="K21" s="315">
        <v>0</v>
      </c>
      <c r="L21" s="324">
        <f t="shared" si="0"/>
        <v>2000</v>
      </c>
      <c r="M21" s="317">
        <v>0</v>
      </c>
      <c r="N21" s="318">
        <v>2000</v>
      </c>
      <c r="O21" s="319">
        <v>0</v>
      </c>
      <c r="P21" s="315">
        <v>0</v>
      </c>
      <c r="Q21" s="320">
        <f>50000-50000</f>
        <v>0</v>
      </c>
      <c r="R21" s="319">
        <v>0</v>
      </c>
      <c r="S21" s="315">
        <v>0</v>
      </c>
      <c r="T21" s="320">
        <v>50000</v>
      </c>
      <c r="U21" s="319">
        <v>0</v>
      </c>
      <c r="V21" s="315">
        <v>0</v>
      </c>
      <c r="W21" s="320">
        <v>50000</v>
      </c>
      <c r="X21" s="319">
        <v>0</v>
      </c>
      <c r="Y21" s="315">
        <v>0</v>
      </c>
      <c r="Z21" s="321">
        <v>50000</v>
      </c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</row>
    <row r="22" spans="1:42" s="202" customFormat="1" ht="28.5" customHeight="1" x14ac:dyDescent="0.25">
      <c r="A22" s="240">
        <v>2321</v>
      </c>
      <c r="B22" s="241">
        <v>6121</v>
      </c>
      <c r="C22" s="205">
        <v>7093</v>
      </c>
      <c r="D22" s="330" t="s">
        <v>166</v>
      </c>
      <c r="E22" s="327" t="s">
        <v>123</v>
      </c>
      <c r="F22" s="312">
        <v>400</v>
      </c>
      <c r="G22" s="312">
        <v>2005</v>
      </c>
      <c r="H22" s="313">
        <v>2022</v>
      </c>
      <c r="I22" s="208">
        <f t="shared" si="1"/>
        <v>97857</v>
      </c>
      <c r="J22" s="314">
        <v>2707</v>
      </c>
      <c r="K22" s="315">
        <v>0</v>
      </c>
      <c r="L22" s="324">
        <f t="shared" si="0"/>
        <v>1000</v>
      </c>
      <c r="M22" s="317">
        <v>1000</v>
      </c>
      <c r="N22" s="318">
        <v>0</v>
      </c>
      <c r="O22" s="319">
        <v>0</v>
      </c>
      <c r="P22" s="315">
        <v>0</v>
      </c>
      <c r="Q22" s="320">
        <v>5650</v>
      </c>
      <c r="R22" s="319">
        <v>0</v>
      </c>
      <c r="S22" s="315">
        <v>0</v>
      </c>
      <c r="T22" s="320">
        <v>50000</v>
      </c>
      <c r="U22" s="319">
        <v>0</v>
      </c>
      <c r="V22" s="315">
        <v>0</v>
      </c>
      <c r="W22" s="320">
        <v>38500</v>
      </c>
      <c r="X22" s="319">
        <v>0</v>
      </c>
      <c r="Y22" s="315">
        <v>0</v>
      </c>
      <c r="Z22" s="321">
        <v>0</v>
      </c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</row>
    <row r="23" spans="1:42" s="202" customFormat="1" ht="28.5" customHeight="1" x14ac:dyDescent="0.25">
      <c r="A23" s="240">
        <v>2321</v>
      </c>
      <c r="B23" s="241">
        <v>6121</v>
      </c>
      <c r="C23" s="205">
        <v>7095</v>
      </c>
      <c r="D23" s="330" t="s">
        <v>167</v>
      </c>
      <c r="E23" s="327" t="s">
        <v>168</v>
      </c>
      <c r="F23" s="328">
        <v>400</v>
      </c>
      <c r="G23" s="328">
        <v>2005</v>
      </c>
      <c r="H23" s="329">
        <v>2020</v>
      </c>
      <c r="I23" s="208">
        <f t="shared" si="1"/>
        <v>81934</v>
      </c>
      <c r="J23" s="314">
        <v>3434</v>
      </c>
      <c r="K23" s="315">
        <v>170</v>
      </c>
      <c r="L23" s="324">
        <f t="shared" si="0"/>
        <v>36490</v>
      </c>
      <c r="M23" s="317">
        <v>12640</v>
      </c>
      <c r="N23" s="318">
        <v>3850</v>
      </c>
      <c r="O23" s="319">
        <v>20000</v>
      </c>
      <c r="P23" s="315">
        <v>0</v>
      </c>
      <c r="Q23" s="320">
        <v>25840</v>
      </c>
      <c r="R23" s="319">
        <v>14000</v>
      </c>
      <c r="S23" s="315">
        <v>0</v>
      </c>
      <c r="T23" s="320">
        <v>2000</v>
      </c>
      <c r="U23" s="319">
        <v>0</v>
      </c>
      <c r="V23" s="315">
        <v>0</v>
      </c>
      <c r="W23" s="320">
        <v>0</v>
      </c>
      <c r="X23" s="319">
        <v>0</v>
      </c>
      <c r="Y23" s="315">
        <v>0</v>
      </c>
      <c r="Z23" s="321">
        <v>0</v>
      </c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</row>
    <row r="24" spans="1:42" s="202" customFormat="1" ht="28.5" customHeight="1" x14ac:dyDescent="0.25">
      <c r="A24" s="240">
        <v>2321</v>
      </c>
      <c r="B24" s="241">
        <v>6121</v>
      </c>
      <c r="C24" s="325">
        <v>7096</v>
      </c>
      <c r="D24" s="332" t="s">
        <v>169</v>
      </c>
      <c r="E24" s="311" t="s">
        <v>123</v>
      </c>
      <c r="F24" s="312">
        <v>400</v>
      </c>
      <c r="G24" s="312">
        <v>2010</v>
      </c>
      <c r="H24" s="313">
        <v>2021</v>
      </c>
      <c r="I24" s="208">
        <f t="shared" si="1"/>
        <v>122795</v>
      </c>
      <c r="J24" s="314">
        <v>745</v>
      </c>
      <c r="K24" s="315">
        <v>0</v>
      </c>
      <c r="L24" s="324">
        <f t="shared" si="0"/>
        <v>3000</v>
      </c>
      <c r="M24" s="317">
        <v>3000</v>
      </c>
      <c r="N24" s="318">
        <v>0</v>
      </c>
      <c r="O24" s="319">
        <v>0</v>
      </c>
      <c r="P24" s="315">
        <v>0</v>
      </c>
      <c r="Q24" s="320">
        <f>27050-27050</f>
        <v>0</v>
      </c>
      <c r="R24" s="319">
        <v>0</v>
      </c>
      <c r="S24" s="315">
        <v>0</v>
      </c>
      <c r="T24" s="320">
        <v>30000</v>
      </c>
      <c r="U24" s="319">
        <v>31000</v>
      </c>
      <c r="V24" s="315">
        <v>0</v>
      </c>
      <c r="W24" s="320">
        <v>27050</v>
      </c>
      <c r="X24" s="319">
        <v>31000</v>
      </c>
      <c r="Y24" s="315">
        <v>0</v>
      </c>
      <c r="Z24" s="321">
        <v>0</v>
      </c>
      <c r="AA24" s="125"/>
      <c r="AB24" s="125"/>
      <c r="AC24" s="125"/>
      <c r="AD24" s="125"/>
      <c r="AE24" s="125"/>
      <c r="AF24" s="125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</row>
    <row r="25" spans="1:42" s="202" customFormat="1" ht="28.5" customHeight="1" x14ac:dyDescent="0.25">
      <c r="A25" s="240">
        <v>2321</v>
      </c>
      <c r="B25" s="241">
        <v>6121</v>
      </c>
      <c r="C25" s="325">
        <v>7097</v>
      </c>
      <c r="D25" s="333" t="s">
        <v>170</v>
      </c>
      <c r="E25" s="311" t="s">
        <v>123</v>
      </c>
      <c r="F25" s="312">
        <v>400</v>
      </c>
      <c r="G25" s="312">
        <v>2010</v>
      </c>
      <c r="H25" s="313">
        <v>2022</v>
      </c>
      <c r="I25" s="208">
        <f t="shared" si="1"/>
        <v>3600</v>
      </c>
      <c r="J25" s="314">
        <v>100</v>
      </c>
      <c r="K25" s="315">
        <v>0</v>
      </c>
      <c r="L25" s="324">
        <f t="shared" si="0"/>
        <v>3500</v>
      </c>
      <c r="M25" s="317">
        <v>2500</v>
      </c>
      <c r="N25" s="318">
        <v>1000</v>
      </c>
      <c r="O25" s="319">
        <v>0</v>
      </c>
      <c r="P25" s="315">
        <v>0</v>
      </c>
      <c r="Q25" s="320">
        <v>0</v>
      </c>
      <c r="R25" s="319">
        <v>0</v>
      </c>
      <c r="S25" s="315">
        <v>0</v>
      </c>
      <c r="T25" s="320">
        <v>0</v>
      </c>
      <c r="U25" s="319">
        <v>0</v>
      </c>
      <c r="V25" s="315">
        <v>0</v>
      </c>
      <c r="W25" s="320">
        <v>0</v>
      </c>
      <c r="X25" s="319">
        <v>0</v>
      </c>
      <c r="Y25" s="315">
        <v>0</v>
      </c>
      <c r="Z25" s="321">
        <v>0</v>
      </c>
      <c r="AA25" s="125"/>
      <c r="AB25" s="125"/>
      <c r="AC25" s="125"/>
      <c r="AD25" s="125"/>
      <c r="AE25" s="125"/>
      <c r="AF25" s="125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</row>
    <row r="26" spans="1:42" s="202" customFormat="1" ht="28.5" customHeight="1" x14ac:dyDescent="0.25">
      <c r="A26" s="240">
        <v>2321</v>
      </c>
      <c r="B26" s="241">
        <v>6121</v>
      </c>
      <c r="C26" s="325">
        <v>7120</v>
      </c>
      <c r="D26" s="334" t="s">
        <v>171</v>
      </c>
      <c r="E26" s="327" t="s">
        <v>119</v>
      </c>
      <c r="F26" s="328">
        <v>400</v>
      </c>
      <c r="G26" s="328">
        <v>2007</v>
      </c>
      <c r="H26" s="329">
        <v>2021</v>
      </c>
      <c r="I26" s="208">
        <f t="shared" si="1"/>
        <v>38423</v>
      </c>
      <c r="J26" s="314">
        <v>1180</v>
      </c>
      <c r="K26" s="315">
        <v>81</v>
      </c>
      <c r="L26" s="324">
        <f t="shared" si="0"/>
        <v>1162</v>
      </c>
      <c r="M26" s="317">
        <v>662</v>
      </c>
      <c r="N26" s="318">
        <v>500</v>
      </c>
      <c r="O26" s="319">
        <v>0</v>
      </c>
      <c r="P26" s="315">
        <v>0</v>
      </c>
      <c r="Q26" s="320">
        <v>17000</v>
      </c>
      <c r="R26" s="319">
        <v>0</v>
      </c>
      <c r="S26" s="315">
        <v>0</v>
      </c>
      <c r="T26" s="320">
        <v>19000</v>
      </c>
      <c r="U26" s="319">
        <v>0</v>
      </c>
      <c r="V26" s="315">
        <v>0</v>
      </c>
      <c r="W26" s="320">
        <v>0</v>
      </c>
      <c r="X26" s="319">
        <v>0</v>
      </c>
      <c r="Y26" s="315">
        <v>0</v>
      </c>
      <c r="Z26" s="321">
        <v>0</v>
      </c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</row>
    <row r="27" spans="1:42" s="202" customFormat="1" ht="28.5" customHeight="1" x14ac:dyDescent="0.25">
      <c r="A27" s="240">
        <v>2321</v>
      </c>
      <c r="B27" s="241">
        <v>6121</v>
      </c>
      <c r="C27" s="322">
        <v>7174</v>
      </c>
      <c r="D27" s="323" t="s">
        <v>118</v>
      </c>
      <c r="E27" s="327" t="s">
        <v>119</v>
      </c>
      <c r="F27" s="328">
        <v>400</v>
      </c>
      <c r="G27" s="328">
        <v>2007</v>
      </c>
      <c r="H27" s="329">
        <v>2020</v>
      </c>
      <c r="I27" s="208">
        <f t="shared" si="1"/>
        <v>55777</v>
      </c>
      <c r="J27" s="314">
        <v>9980</v>
      </c>
      <c r="K27" s="315">
        <v>707</v>
      </c>
      <c r="L27" s="324">
        <f t="shared" si="0"/>
        <v>4090</v>
      </c>
      <c r="M27" s="317">
        <f>3900+190</f>
        <v>4090</v>
      </c>
      <c r="N27" s="318">
        <v>0</v>
      </c>
      <c r="O27" s="319">
        <v>0</v>
      </c>
      <c r="P27" s="315">
        <v>0</v>
      </c>
      <c r="Q27" s="320">
        <v>1000</v>
      </c>
      <c r="R27" s="319">
        <v>0</v>
      </c>
      <c r="S27" s="315">
        <v>0</v>
      </c>
      <c r="T27" s="320">
        <v>20000</v>
      </c>
      <c r="U27" s="319">
        <v>0</v>
      </c>
      <c r="V27" s="315">
        <v>0</v>
      </c>
      <c r="W27" s="320">
        <v>20000</v>
      </c>
      <c r="X27" s="319">
        <v>0</v>
      </c>
      <c r="Y27" s="315">
        <v>0</v>
      </c>
      <c r="Z27" s="321">
        <v>0</v>
      </c>
      <c r="AA27" s="125"/>
      <c r="AB27" s="125"/>
      <c r="AC27" s="125"/>
      <c r="AD27" s="125"/>
      <c r="AE27" s="125"/>
      <c r="AF27" s="125"/>
      <c r="AG27" s="125"/>
      <c r="AH27" s="125"/>
      <c r="AI27" s="125"/>
      <c r="AJ27" s="125"/>
      <c r="AK27" s="125"/>
      <c r="AL27" s="125"/>
      <c r="AM27" s="125"/>
      <c r="AN27" s="125"/>
      <c r="AO27" s="125"/>
      <c r="AP27" s="125"/>
    </row>
    <row r="28" spans="1:42" s="202" customFormat="1" ht="28.5" customHeight="1" x14ac:dyDescent="0.25">
      <c r="A28" s="240">
        <v>2321</v>
      </c>
      <c r="B28" s="241">
        <v>6121</v>
      </c>
      <c r="C28" s="325">
        <v>7187</v>
      </c>
      <c r="D28" s="332" t="s">
        <v>172</v>
      </c>
      <c r="E28" s="311" t="s">
        <v>123</v>
      </c>
      <c r="F28" s="312">
        <v>400</v>
      </c>
      <c r="G28" s="312">
        <v>2005</v>
      </c>
      <c r="H28" s="313">
        <v>2020</v>
      </c>
      <c r="I28" s="208">
        <f t="shared" si="1"/>
        <v>28621</v>
      </c>
      <c r="J28" s="314">
        <v>1461</v>
      </c>
      <c r="K28" s="315">
        <v>0</v>
      </c>
      <c r="L28" s="324">
        <f t="shared" si="0"/>
        <v>100</v>
      </c>
      <c r="M28" s="317">
        <v>100</v>
      </c>
      <c r="N28" s="318">
        <v>0</v>
      </c>
      <c r="O28" s="319">
        <v>0</v>
      </c>
      <c r="P28" s="315">
        <v>0</v>
      </c>
      <c r="Q28" s="320">
        <f>27060-27060</f>
        <v>0</v>
      </c>
      <c r="R28" s="319">
        <v>0</v>
      </c>
      <c r="S28" s="315">
        <v>0</v>
      </c>
      <c r="T28" s="320">
        <v>0</v>
      </c>
      <c r="U28" s="319">
        <v>0</v>
      </c>
      <c r="V28" s="315">
        <v>0</v>
      </c>
      <c r="W28" s="320">
        <v>0</v>
      </c>
      <c r="X28" s="319">
        <v>0</v>
      </c>
      <c r="Y28" s="315">
        <v>0</v>
      </c>
      <c r="Z28" s="321">
        <v>27060</v>
      </c>
      <c r="AA28" s="125"/>
      <c r="AB28" s="125"/>
      <c r="AC28" s="125"/>
      <c r="AD28" s="125"/>
      <c r="AE28" s="125"/>
      <c r="AF28" s="125"/>
      <c r="AG28" s="125"/>
      <c r="AH28" s="125"/>
      <c r="AI28" s="125"/>
      <c r="AJ28" s="125"/>
      <c r="AK28" s="125"/>
      <c r="AL28" s="125"/>
      <c r="AM28" s="125"/>
      <c r="AN28" s="125"/>
      <c r="AO28" s="125"/>
      <c r="AP28" s="125"/>
    </row>
    <row r="29" spans="1:42" s="202" customFormat="1" ht="28.5" customHeight="1" x14ac:dyDescent="0.25">
      <c r="A29" s="240">
        <v>2321</v>
      </c>
      <c r="B29" s="241">
        <v>6121</v>
      </c>
      <c r="C29" s="325">
        <v>7200</v>
      </c>
      <c r="D29" s="326" t="s">
        <v>173</v>
      </c>
      <c r="E29" s="327" t="s">
        <v>123</v>
      </c>
      <c r="F29" s="328">
        <v>400</v>
      </c>
      <c r="G29" s="328">
        <v>2005</v>
      </c>
      <c r="H29" s="329">
        <v>2020</v>
      </c>
      <c r="I29" s="208">
        <f t="shared" si="1"/>
        <v>16700</v>
      </c>
      <c r="J29" s="314">
        <v>1141</v>
      </c>
      <c r="K29" s="315">
        <v>0</v>
      </c>
      <c r="L29" s="324">
        <f t="shared" si="0"/>
        <v>100</v>
      </c>
      <c r="M29" s="317">
        <v>100</v>
      </c>
      <c r="N29" s="318">
        <v>0</v>
      </c>
      <c r="O29" s="319">
        <v>0</v>
      </c>
      <c r="P29" s="315">
        <v>0</v>
      </c>
      <c r="Q29" s="320">
        <f>15459-15459</f>
        <v>0</v>
      </c>
      <c r="R29" s="319">
        <v>0</v>
      </c>
      <c r="S29" s="315">
        <v>0</v>
      </c>
      <c r="T29" s="320">
        <v>0</v>
      </c>
      <c r="U29" s="319">
        <v>0</v>
      </c>
      <c r="V29" s="315">
        <v>0</v>
      </c>
      <c r="W29" s="320">
        <v>0</v>
      </c>
      <c r="X29" s="319">
        <v>0</v>
      </c>
      <c r="Y29" s="315">
        <v>0</v>
      </c>
      <c r="Z29" s="321">
        <v>15459</v>
      </c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</row>
    <row r="30" spans="1:42" s="202" customFormat="1" ht="28.5" customHeight="1" x14ac:dyDescent="0.25">
      <c r="A30" s="240">
        <v>2321</v>
      </c>
      <c r="B30" s="241">
        <v>6121</v>
      </c>
      <c r="C30" s="322">
        <v>7201</v>
      </c>
      <c r="D30" s="323" t="s">
        <v>174</v>
      </c>
      <c r="E30" s="311" t="s">
        <v>123</v>
      </c>
      <c r="F30" s="312">
        <v>400</v>
      </c>
      <c r="G30" s="312">
        <v>2009</v>
      </c>
      <c r="H30" s="313">
        <v>2020</v>
      </c>
      <c r="I30" s="208">
        <f t="shared" si="1"/>
        <v>68990</v>
      </c>
      <c r="J30" s="314">
        <v>5940</v>
      </c>
      <c r="K30" s="315">
        <v>58984</v>
      </c>
      <c r="L30" s="324">
        <f t="shared" si="0"/>
        <v>66</v>
      </c>
      <c r="M30" s="317">
        <v>66</v>
      </c>
      <c r="N30" s="318">
        <v>0</v>
      </c>
      <c r="O30" s="319">
        <v>0</v>
      </c>
      <c r="P30" s="315">
        <v>0</v>
      </c>
      <c r="Q30" s="320">
        <v>4000</v>
      </c>
      <c r="R30" s="319">
        <v>0</v>
      </c>
      <c r="S30" s="315">
        <v>0</v>
      </c>
      <c r="T30" s="320">
        <v>0</v>
      </c>
      <c r="U30" s="319">
        <v>0</v>
      </c>
      <c r="V30" s="315">
        <v>0</v>
      </c>
      <c r="W30" s="320">
        <v>0</v>
      </c>
      <c r="X30" s="319">
        <v>0</v>
      </c>
      <c r="Y30" s="315">
        <v>0</v>
      </c>
      <c r="Z30" s="321">
        <v>0</v>
      </c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</row>
    <row r="31" spans="1:42" s="202" customFormat="1" ht="28.5" customHeight="1" x14ac:dyDescent="0.25">
      <c r="A31" s="240">
        <v>2321</v>
      </c>
      <c r="B31" s="241">
        <v>6121</v>
      </c>
      <c r="C31" s="335">
        <v>7210</v>
      </c>
      <c r="D31" s="332" t="s">
        <v>175</v>
      </c>
      <c r="E31" s="327" t="s">
        <v>176</v>
      </c>
      <c r="F31" s="312">
        <v>400</v>
      </c>
      <c r="G31" s="312">
        <v>2002</v>
      </c>
      <c r="H31" s="313">
        <v>2020</v>
      </c>
      <c r="I31" s="208">
        <f t="shared" si="1"/>
        <v>13880</v>
      </c>
      <c r="J31" s="314">
        <v>574</v>
      </c>
      <c r="K31" s="315">
        <v>50</v>
      </c>
      <c r="L31" s="324">
        <f t="shared" si="0"/>
        <v>956</v>
      </c>
      <c r="M31" s="317">
        <v>956</v>
      </c>
      <c r="N31" s="318">
        <v>0</v>
      </c>
      <c r="O31" s="319">
        <v>0</v>
      </c>
      <c r="P31" s="315">
        <v>0</v>
      </c>
      <c r="Q31" s="320">
        <f>12300-12300</f>
        <v>0</v>
      </c>
      <c r="R31" s="319">
        <v>0</v>
      </c>
      <c r="S31" s="315">
        <v>0</v>
      </c>
      <c r="T31" s="320">
        <v>0</v>
      </c>
      <c r="U31" s="319">
        <v>0</v>
      </c>
      <c r="V31" s="315">
        <v>0</v>
      </c>
      <c r="W31" s="320">
        <v>0</v>
      </c>
      <c r="X31" s="319">
        <v>0</v>
      </c>
      <c r="Y31" s="315">
        <v>0</v>
      </c>
      <c r="Z31" s="321">
        <v>12300</v>
      </c>
      <c r="AA31" s="125"/>
      <c r="AB31" s="125"/>
      <c r="AC31" s="125"/>
      <c r="AD31" s="125"/>
      <c r="AE31" s="125"/>
      <c r="AF31" s="125"/>
      <c r="AG31" s="125"/>
      <c r="AH31" s="125"/>
      <c r="AI31" s="125"/>
      <c r="AJ31" s="125"/>
      <c r="AK31" s="125"/>
      <c r="AL31" s="125"/>
      <c r="AM31" s="125"/>
      <c r="AN31" s="125"/>
      <c r="AO31" s="125"/>
      <c r="AP31" s="125"/>
    </row>
    <row r="32" spans="1:42" s="202" customFormat="1" ht="28.5" customHeight="1" x14ac:dyDescent="0.25">
      <c r="A32" s="240">
        <v>2321</v>
      </c>
      <c r="B32" s="241">
        <v>6121</v>
      </c>
      <c r="C32" s="205">
        <v>7213</v>
      </c>
      <c r="D32" s="330" t="s">
        <v>177</v>
      </c>
      <c r="E32" s="327" t="s">
        <v>178</v>
      </c>
      <c r="F32" s="328">
        <v>400</v>
      </c>
      <c r="G32" s="328">
        <v>2011</v>
      </c>
      <c r="H32" s="329">
        <v>2020</v>
      </c>
      <c r="I32" s="208">
        <f t="shared" si="1"/>
        <v>155522</v>
      </c>
      <c r="J32" s="314">
        <v>4403</v>
      </c>
      <c r="K32" s="315">
        <v>778</v>
      </c>
      <c r="L32" s="324">
        <f t="shared" si="0"/>
        <v>25341</v>
      </c>
      <c r="M32" s="317">
        <f>11441+2700</f>
        <v>14141</v>
      </c>
      <c r="N32" s="318">
        <v>11200</v>
      </c>
      <c r="O32" s="319">
        <v>0</v>
      </c>
      <c r="P32" s="315">
        <v>0</v>
      </c>
      <c r="Q32" s="320">
        <f>65000-50000</f>
        <v>15000</v>
      </c>
      <c r="R32" s="319">
        <v>0</v>
      </c>
      <c r="S32" s="315">
        <v>0</v>
      </c>
      <c r="T32" s="320">
        <v>60000</v>
      </c>
      <c r="U32" s="319">
        <v>0</v>
      </c>
      <c r="V32" s="315">
        <v>0</v>
      </c>
      <c r="W32" s="320">
        <v>50000</v>
      </c>
      <c r="X32" s="319">
        <v>0</v>
      </c>
      <c r="Y32" s="315">
        <v>0</v>
      </c>
      <c r="Z32" s="321">
        <v>0</v>
      </c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5"/>
    </row>
    <row r="33" spans="1:42" s="202" customFormat="1" ht="28.5" customHeight="1" x14ac:dyDescent="0.25">
      <c r="A33" s="240">
        <v>2321</v>
      </c>
      <c r="B33" s="241">
        <v>6121</v>
      </c>
      <c r="C33" s="205">
        <v>7231</v>
      </c>
      <c r="D33" s="330" t="s">
        <v>128</v>
      </c>
      <c r="E33" s="327" t="s">
        <v>129</v>
      </c>
      <c r="F33" s="328">
        <v>400</v>
      </c>
      <c r="G33" s="328">
        <v>2012</v>
      </c>
      <c r="H33" s="329">
        <v>2021</v>
      </c>
      <c r="I33" s="208">
        <f t="shared" si="1"/>
        <v>11483</v>
      </c>
      <c r="J33" s="314">
        <v>4300</v>
      </c>
      <c r="K33" s="315">
        <v>183</v>
      </c>
      <c r="L33" s="324">
        <f t="shared" si="0"/>
        <v>1000</v>
      </c>
      <c r="M33" s="317">
        <v>0</v>
      </c>
      <c r="N33" s="318">
        <v>1000</v>
      </c>
      <c r="O33" s="319">
        <v>0</v>
      </c>
      <c r="P33" s="315">
        <v>0</v>
      </c>
      <c r="Q33" s="320">
        <v>2000</v>
      </c>
      <c r="R33" s="319">
        <v>0</v>
      </c>
      <c r="S33" s="315">
        <v>0</v>
      </c>
      <c r="T33" s="320">
        <v>2000</v>
      </c>
      <c r="U33" s="319">
        <v>0</v>
      </c>
      <c r="V33" s="315">
        <v>0</v>
      </c>
      <c r="W33" s="320">
        <v>2000</v>
      </c>
      <c r="X33" s="319">
        <v>0</v>
      </c>
      <c r="Y33" s="315">
        <v>0</v>
      </c>
      <c r="Z33" s="321">
        <v>0</v>
      </c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5"/>
    </row>
    <row r="34" spans="1:42" s="202" customFormat="1" ht="28.5" customHeight="1" x14ac:dyDescent="0.25">
      <c r="A34" s="240">
        <v>2321</v>
      </c>
      <c r="B34" s="241">
        <v>6121</v>
      </c>
      <c r="C34" s="205">
        <v>7232</v>
      </c>
      <c r="D34" s="330" t="s">
        <v>179</v>
      </c>
      <c r="E34" s="311" t="s">
        <v>129</v>
      </c>
      <c r="F34" s="312">
        <v>400</v>
      </c>
      <c r="G34" s="312">
        <v>2012</v>
      </c>
      <c r="H34" s="313">
        <v>2022</v>
      </c>
      <c r="I34" s="208">
        <f t="shared" si="1"/>
        <v>9200</v>
      </c>
      <c r="J34" s="314">
        <v>0</v>
      </c>
      <c r="K34" s="315">
        <v>0</v>
      </c>
      <c r="L34" s="324">
        <f t="shared" si="0"/>
        <v>3200</v>
      </c>
      <c r="M34" s="317">
        <v>2200</v>
      </c>
      <c r="N34" s="318">
        <v>1000</v>
      </c>
      <c r="O34" s="319">
        <v>0</v>
      </c>
      <c r="P34" s="315">
        <v>0</v>
      </c>
      <c r="Q34" s="320">
        <v>2000</v>
      </c>
      <c r="R34" s="319">
        <v>0</v>
      </c>
      <c r="S34" s="315">
        <v>0</v>
      </c>
      <c r="T34" s="320">
        <v>2000</v>
      </c>
      <c r="U34" s="319">
        <v>0</v>
      </c>
      <c r="V34" s="315">
        <v>0</v>
      </c>
      <c r="W34" s="320">
        <v>2000</v>
      </c>
      <c r="X34" s="319">
        <v>0</v>
      </c>
      <c r="Y34" s="315">
        <v>0</v>
      </c>
      <c r="Z34" s="321">
        <v>0</v>
      </c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</row>
    <row r="35" spans="1:42" s="202" customFormat="1" ht="28.5" customHeight="1" x14ac:dyDescent="0.25">
      <c r="A35" s="240">
        <v>2321</v>
      </c>
      <c r="B35" s="241">
        <v>6121</v>
      </c>
      <c r="C35" s="205">
        <v>7233</v>
      </c>
      <c r="D35" s="330" t="s">
        <v>131</v>
      </c>
      <c r="E35" s="327" t="s">
        <v>129</v>
      </c>
      <c r="F35" s="328">
        <v>400</v>
      </c>
      <c r="G35" s="328">
        <v>2012</v>
      </c>
      <c r="H35" s="329">
        <v>2020</v>
      </c>
      <c r="I35" s="208">
        <f t="shared" si="1"/>
        <v>9000</v>
      </c>
      <c r="J35" s="314">
        <v>4917</v>
      </c>
      <c r="K35" s="315">
        <v>2300</v>
      </c>
      <c r="L35" s="324">
        <f t="shared" si="0"/>
        <v>1000</v>
      </c>
      <c r="M35" s="317">
        <v>300</v>
      </c>
      <c r="N35" s="318">
        <v>700</v>
      </c>
      <c r="O35" s="319">
        <v>0</v>
      </c>
      <c r="P35" s="315">
        <v>0</v>
      </c>
      <c r="Q35" s="320">
        <v>500</v>
      </c>
      <c r="R35" s="319">
        <v>0</v>
      </c>
      <c r="S35" s="315">
        <v>0</v>
      </c>
      <c r="T35" s="320">
        <v>283</v>
      </c>
      <c r="U35" s="319">
        <v>0</v>
      </c>
      <c r="V35" s="315">
        <v>0</v>
      </c>
      <c r="W35" s="320">
        <v>0</v>
      </c>
      <c r="X35" s="319">
        <v>0</v>
      </c>
      <c r="Y35" s="315">
        <v>0</v>
      </c>
      <c r="Z35" s="321">
        <v>0</v>
      </c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5"/>
    </row>
    <row r="36" spans="1:42" s="202" customFormat="1" ht="28.5" customHeight="1" thickBot="1" x14ac:dyDescent="0.3">
      <c r="A36" s="1100">
        <v>2321</v>
      </c>
      <c r="B36" s="1101">
        <v>6121</v>
      </c>
      <c r="C36" s="1102">
        <v>7234</v>
      </c>
      <c r="D36" s="1103" t="s">
        <v>132</v>
      </c>
      <c r="E36" s="1104" t="s">
        <v>129</v>
      </c>
      <c r="F36" s="1105">
        <v>400</v>
      </c>
      <c r="G36" s="1105">
        <v>2012</v>
      </c>
      <c r="H36" s="1106">
        <v>2022</v>
      </c>
      <c r="I36" s="1107">
        <f t="shared" si="1"/>
        <v>9037</v>
      </c>
      <c r="J36" s="1108">
        <v>1087</v>
      </c>
      <c r="K36" s="1109">
        <v>0</v>
      </c>
      <c r="L36" s="1110">
        <f t="shared" si="0"/>
        <v>1950</v>
      </c>
      <c r="M36" s="1111">
        <v>950</v>
      </c>
      <c r="N36" s="1112">
        <v>1000</v>
      </c>
      <c r="O36" s="1113">
        <v>0</v>
      </c>
      <c r="P36" s="1109">
        <v>0</v>
      </c>
      <c r="Q36" s="1114">
        <v>2000</v>
      </c>
      <c r="R36" s="1113">
        <v>0</v>
      </c>
      <c r="S36" s="1109">
        <v>0</v>
      </c>
      <c r="T36" s="1114">
        <v>2000</v>
      </c>
      <c r="U36" s="1113">
        <v>0</v>
      </c>
      <c r="V36" s="1109">
        <v>0</v>
      </c>
      <c r="W36" s="1114">
        <v>2000</v>
      </c>
      <c r="X36" s="1113">
        <v>0</v>
      </c>
      <c r="Y36" s="1109">
        <v>0</v>
      </c>
      <c r="Z36" s="1115">
        <v>0</v>
      </c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5"/>
    </row>
    <row r="37" spans="1:42" s="202" customFormat="1" ht="28.5" customHeight="1" x14ac:dyDescent="0.25">
      <c r="A37" s="1092">
        <v>2321</v>
      </c>
      <c r="B37" s="1093">
        <v>6121</v>
      </c>
      <c r="C37" s="1094">
        <v>7236</v>
      </c>
      <c r="D37" s="1095" t="s">
        <v>133</v>
      </c>
      <c r="E37" s="327" t="s">
        <v>129</v>
      </c>
      <c r="F37" s="328">
        <v>400</v>
      </c>
      <c r="G37" s="328">
        <v>2012</v>
      </c>
      <c r="H37" s="329">
        <v>2021</v>
      </c>
      <c r="I37" s="402">
        <f t="shared" si="1"/>
        <v>10900</v>
      </c>
      <c r="J37" s="1096">
        <v>0</v>
      </c>
      <c r="K37" s="315">
        <v>0</v>
      </c>
      <c r="L37" s="1097">
        <f t="shared" si="0"/>
        <v>4900</v>
      </c>
      <c r="M37" s="1098">
        <v>2500</v>
      </c>
      <c r="N37" s="1099">
        <v>2400</v>
      </c>
      <c r="O37" s="319">
        <v>0</v>
      </c>
      <c r="P37" s="315">
        <v>0</v>
      </c>
      <c r="Q37" s="320">
        <v>2000</v>
      </c>
      <c r="R37" s="319">
        <v>0</v>
      </c>
      <c r="S37" s="315">
        <v>0</v>
      </c>
      <c r="T37" s="320">
        <v>2000</v>
      </c>
      <c r="U37" s="319">
        <v>0</v>
      </c>
      <c r="V37" s="315">
        <v>0</v>
      </c>
      <c r="W37" s="320">
        <v>2000</v>
      </c>
      <c r="X37" s="319">
        <v>0</v>
      </c>
      <c r="Y37" s="315">
        <v>0</v>
      </c>
      <c r="Z37" s="321">
        <v>0</v>
      </c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</row>
    <row r="38" spans="1:42" s="202" customFormat="1" ht="28.5" customHeight="1" x14ac:dyDescent="0.25">
      <c r="A38" s="240">
        <v>2321</v>
      </c>
      <c r="B38" s="241">
        <v>6121</v>
      </c>
      <c r="C38" s="205">
        <v>7254</v>
      </c>
      <c r="D38" s="330" t="s">
        <v>180</v>
      </c>
      <c r="E38" s="311" t="s">
        <v>123</v>
      </c>
      <c r="F38" s="312">
        <v>400</v>
      </c>
      <c r="G38" s="312">
        <v>2010</v>
      </c>
      <c r="H38" s="313">
        <v>2019</v>
      </c>
      <c r="I38" s="208">
        <f t="shared" si="1"/>
        <v>7136</v>
      </c>
      <c r="J38" s="336">
        <v>120</v>
      </c>
      <c r="K38" s="337">
        <v>23</v>
      </c>
      <c r="L38" s="324">
        <f t="shared" si="0"/>
        <v>6993</v>
      </c>
      <c r="M38" s="338">
        <v>127</v>
      </c>
      <c r="N38" s="339">
        <v>170</v>
      </c>
      <c r="O38" s="340">
        <v>6696</v>
      </c>
      <c r="P38" s="337">
        <v>0</v>
      </c>
      <c r="Q38" s="341">
        <v>0</v>
      </c>
      <c r="R38" s="340">
        <v>0</v>
      </c>
      <c r="S38" s="337">
        <v>0</v>
      </c>
      <c r="T38" s="341">
        <v>0</v>
      </c>
      <c r="U38" s="340">
        <v>0</v>
      </c>
      <c r="V38" s="337">
        <v>0</v>
      </c>
      <c r="W38" s="341">
        <v>0</v>
      </c>
      <c r="X38" s="340">
        <v>0</v>
      </c>
      <c r="Y38" s="337">
        <v>0</v>
      </c>
      <c r="Z38" s="342">
        <v>0</v>
      </c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</row>
    <row r="39" spans="1:42" s="202" customFormat="1" ht="28.5" customHeight="1" x14ac:dyDescent="0.25">
      <c r="A39" s="240">
        <v>2321</v>
      </c>
      <c r="B39" s="241">
        <v>6121</v>
      </c>
      <c r="C39" s="205">
        <v>7255</v>
      </c>
      <c r="D39" s="330" t="s">
        <v>181</v>
      </c>
      <c r="E39" s="311" t="s">
        <v>127</v>
      </c>
      <c r="F39" s="312">
        <v>400</v>
      </c>
      <c r="G39" s="312">
        <v>2010</v>
      </c>
      <c r="H39" s="313">
        <v>2019</v>
      </c>
      <c r="I39" s="208">
        <f t="shared" si="1"/>
        <v>1247</v>
      </c>
      <c r="J39" s="336">
        <v>918</v>
      </c>
      <c r="K39" s="337">
        <v>35</v>
      </c>
      <c r="L39" s="324">
        <f t="shared" si="0"/>
        <v>294</v>
      </c>
      <c r="M39" s="338">
        <v>294</v>
      </c>
      <c r="N39" s="339">
        <v>0</v>
      </c>
      <c r="O39" s="340">
        <v>0</v>
      </c>
      <c r="P39" s="337">
        <v>0</v>
      </c>
      <c r="Q39" s="341">
        <v>0</v>
      </c>
      <c r="R39" s="340">
        <v>0</v>
      </c>
      <c r="S39" s="337">
        <v>0</v>
      </c>
      <c r="T39" s="341">
        <v>0</v>
      </c>
      <c r="U39" s="340">
        <v>0</v>
      </c>
      <c r="V39" s="337">
        <v>0</v>
      </c>
      <c r="W39" s="341">
        <v>0</v>
      </c>
      <c r="X39" s="340">
        <v>0</v>
      </c>
      <c r="Y39" s="337">
        <v>0</v>
      </c>
      <c r="Z39" s="342">
        <v>0</v>
      </c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</row>
    <row r="40" spans="1:42" s="202" customFormat="1" ht="28.5" customHeight="1" x14ac:dyDescent="0.25">
      <c r="A40" s="240">
        <v>2321</v>
      </c>
      <c r="B40" s="241">
        <v>6121</v>
      </c>
      <c r="C40" s="322">
        <v>7256</v>
      </c>
      <c r="D40" s="323" t="s">
        <v>182</v>
      </c>
      <c r="E40" s="327" t="s">
        <v>147</v>
      </c>
      <c r="F40" s="328">
        <v>400</v>
      </c>
      <c r="G40" s="328">
        <v>2013</v>
      </c>
      <c r="H40" s="329">
        <v>2020</v>
      </c>
      <c r="I40" s="208">
        <f t="shared" si="1"/>
        <v>27401</v>
      </c>
      <c r="J40" s="336">
        <v>5351</v>
      </c>
      <c r="K40" s="337">
        <v>50</v>
      </c>
      <c r="L40" s="324">
        <f t="shared" si="0"/>
        <v>2000</v>
      </c>
      <c r="M40" s="338">
        <v>0</v>
      </c>
      <c r="N40" s="339">
        <v>2000</v>
      </c>
      <c r="O40" s="340">
        <v>0</v>
      </c>
      <c r="P40" s="337">
        <v>0</v>
      </c>
      <c r="Q40" s="341">
        <v>10000</v>
      </c>
      <c r="R40" s="340">
        <v>0</v>
      </c>
      <c r="S40" s="337">
        <v>0</v>
      </c>
      <c r="T40" s="341">
        <v>10000</v>
      </c>
      <c r="U40" s="340">
        <v>0</v>
      </c>
      <c r="V40" s="337">
        <v>0</v>
      </c>
      <c r="W40" s="341">
        <v>0</v>
      </c>
      <c r="X40" s="340">
        <v>0</v>
      </c>
      <c r="Y40" s="337">
        <v>0</v>
      </c>
      <c r="Z40" s="342">
        <v>0</v>
      </c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5"/>
    </row>
    <row r="41" spans="1:42" s="202" customFormat="1" ht="28.5" customHeight="1" x14ac:dyDescent="0.25">
      <c r="A41" s="240">
        <v>2321</v>
      </c>
      <c r="B41" s="241">
        <v>6121</v>
      </c>
      <c r="C41" s="325">
        <v>7257</v>
      </c>
      <c r="D41" s="331" t="s">
        <v>183</v>
      </c>
      <c r="E41" s="343" t="s">
        <v>123</v>
      </c>
      <c r="F41" s="344">
        <v>400</v>
      </c>
      <c r="G41" s="344">
        <v>2013</v>
      </c>
      <c r="H41" s="345">
        <v>2021</v>
      </c>
      <c r="I41" s="208">
        <f t="shared" si="1"/>
        <v>6000</v>
      </c>
      <c r="J41" s="336">
        <v>0</v>
      </c>
      <c r="K41" s="337">
        <v>0</v>
      </c>
      <c r="L41" s="324">
        <f t="shared" si="0"/>
        <v>3000</v>
      </c>
      <c r="M41" s="338">
        <v>1000</v>
      </c>
      <c r="N41" s="339">
        <v>2000</v>
      </c>
      <c r="O41" s="340">
        <v>0</v>
      </c>
      <c r="P41" s="337">
        <v>0</v>
      </c>
      <c r="Q41" s="341">
        <f>3000-3000</f>
        <v>0</v>
      </c>
      <c r="R41" s="340">
        <v>0</v>
      </c>
      <c r="S41" s="337">
        <v>0</v>
      </c>
      <c r="T41" s="341">
        <v>0</v>
      </c>
      <c r="U41" s="340">
        <v>0</v>
      </c>
      <c r="V41" s="337">
        <v>0</v>
      </c>
      <c r="W41" s="341">
        <v>0</v>
      </c>
      <c r="X41" s="340">
        <v>0</v>
      </c>
      <c r="Y41" s="337">
        <v>0</v>
      </c>
      <c r="Z41" s="342">
        <v>3000</v>
      </c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5"/>
    </row>
    <row r="42" spans="1:42" s="202" customFormat="1" ht="28.5" customHeight="1" x14ac:dyDescent="0.25">
      <c r="A42" s="240">
        <v>2321</v>
      </c>
      <c r="B42" s="241">
        <v>6121</v>
      </c>
      <c r="C42" s="322">
        <v>7267</v>
      </c>
      <c r="D42" s="346" t="s">
        <v>184</v>
      </c>
      <c r="E42" s="311" t="s">
        <v>127</v>
      </c>
      <c r="F42" s="312">
        <v>400</v>
      </c>
      <c r="G42" s="312">
        <v>2012</v>
      </c>
      <c r="H42" s="313">
        <v>2019</v>
      </c>
      <c r="I42" s="208">
        <f t="shared" si="1"/>
        <v>18675</v>
      </c>
      <c r="J42" s="336">
        <v>2005</v>
      </c>
      <c r="K42" s="337">
        <v>100</v>
      </c>
      <c r="L42" s="324">
        <f t="shared" si="0"/>
        <v>16570</v>
      </c>
      <c r="M42" s="338">
        <v>10210</v>
      </c>
      <c r="N42" s="339">
        <v>6360</v>
      </c>
      <c r="O42" s="340">
        <v>0</v>
      </c>
      <c r="P42" s="337">
        <v>0</v>
      </c>
      <c r="Q42" s="341">
        <v>0</v>
      </c>
      <c r="R42" s="340">
        <v>0</v>
      </c>
      <c r="S42" s="337">
        <v>0</v>
      </c>
      <c r="T42" s="341">
        <v>0</v>
      </c>
      <c r="U42" s="340">
        <v>0</v>
      </c>
      <c r="V42" s="337">
        <v>0</v>
      </c>
      <c r="W42" s="341">
        <v>0</v>
      </c>
      <c r="X42" s="340">
        <v>0</v>
      </c>
      <c r="Y42" s="337">
        <v>0</v>
      </c>
      <c r="Z42" s="342">
        <v>0</v>
      </c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5"/>
    </row>
    <row r="43" spans="1:42" s="202" customFormat="1" ht="28.5" customHeight="1" x14ac:dyDescent="0.25">
      <c r="A43" s="240">
        <v>2321</v>
      </c>
      <c r="B43" s="241">
        <v>6121</v>
      </c>
      <c r="C43" s="325">
        <v>7286</v>
      </c>
      <c r="D43" s="326" t="s">
        <v>135</v>
      </c>
      <c r="E43" s="311" t="s">
        <v>129</v>
      </c>
      <c r="F43" s="312">
        <v>400</v>
      </c>
      <c r="G43" s="312">
        <v>2015</v>
      </c>
      <c r="H43" s="313">
        <v>2021</v>
      </c>
      <c r="I43" s="208">
        <f t="shared" si="1"/>
        <v>2475</v>
      </c>
      <c r="J43" s="336">
        <v>0</v>
      </c>
      <c r="K43" s="337">
        <v>0</v>
      </c>
      <c r="L43" s="324">
        <f t="shared" si="0"/>
        <v>475</v>
      </c>
      <c r="M43" s="338">
        <v>0</v>
      </c>
      <c r="N43" s="339">
        <v>475</v>
      </c>
      <c r="O43" s="340">
        <v>0</v>
      </c>
      <c r="P43" s="337">
        <v>0</v>
      </c>
      <c r="Q43" s="341">
        <v>500</v>
      </c>
      <c r="R43" s="340">
        <v>0</v>
      </c>
      <c r="S43" s="337">
        <v>0</v>
      </c>
      <c r="T43" s="341">
        <v>500</v>
      </c>
      <c r="U43" s="340">
        <v>0</v>
      </c>
      <c r="V43" s="337">
        <v>0</v>
      </c>
      <c r="W43" s="341">
        <v>500</v>
      </c>
      <c r="X43" s="340">
        <v>0</v>
      </c>
      <c r="Y43" s="337">
        <v>0</v>
      </c>
      <c r="Z43" s="342">
        <v>500</v>
      </c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5"/>
    </row>
    <row r="44" spans="1:42" s="202" customFormat="1" ht="28.5" customHeight="1" x14ac:dyDescent="0.25">
      <c r="A44" s="240">
        <v>2321</v>
      </c>
      <c r="B44" s="241">
        <v>6121</v>
      </c>
      <c r="C44" s="322">
        <v>7295</v>
      </c>
      <c r="D44" s="323" t="s">
        <v>185</v>
      </c>
      <c r="E44" s="311" t="s">
        <v>127</v>
      </c>
      <c r="F44" s="312">
        <v>400</v>
      </c>
      <c r="G44" s="312">
        <v>2015</v>
      </c>
      <c r="H44" s="313">
        <v>2021</v>
      </c>
      <c r="I44" s="208">
        <f t="shared" si="1"/>
        <v>46322</v>
      </c>
      <c r="J44" s="336">
        <v>822</v>
      </c>
      <c r="K44" s="337">
        <v>4000</v>
      </c>
      <c r="L44" s="324">
        <f t="shared" si="0"/>
        <v>15000</v>
      </c>
      <c r="M44" s="338">
        <v>0</v>
      </c>
      <c r="N44" s="339">
        <v>15000</v>
      </c>
      <c r="O44" s="340">
        <v>0</v>
      </c>
      <c r="P44" s="337">
        <v>0</v>
      </c>
      <c r="Q44" s="341">
        <v>19500</v>
      </c>
      <c r="R44" s="340">
        <v>0</v>
      </c>
      <c r="S44" s="337">
        <v>0</v>
      </c>
      <c r="T44" s="341">
        <v>7000</v>
      </c>
      <c r="U44" s="340">
        <v>0</v>
      </c>
      <c r="V44" s="337">
        <v>0</v>
      </c>
      <c r="W44" s="341">
        <v>0</v>
      </c>
      <c r="X44" s="340">
        <v>0</v>
      </c>
      <c r="Y44" s="337">
        <v>0</v>
      </c>
      <c r="Z44" s="342">
        <v>0</v>
      </c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5"/>
    </row>
    <row r="45" spans="1:42" s="202" customFormat="1" ht="28.5" customHeight="1" x14ac:dyDescent="0.25">
      <c r="A45" s="240">
        <v>2321</v>
      </c>
      <c r="B45" s="241">
        <v>6121</v>
      </c>
      <c r="C45" s="322">
        <v>7296</v>
      </c>
      <c r="D45" s="347" t="s">
        <v>186</v>
      </c>
      <c r="E45" s="311" t="s">
        <v>123</v>
      </c>
      <c r="F45" s="312">
        <v>400</v>
      </c>
      <c r="G45" s="312">
        <v>2008</v>
      </c>
      <c r="H45" s="313">
        <v>2019</v>
      </c>
      <c r="I45" s="208">
        <f t="shared" si="1"/>
        <v>25851</v>
      </c>
      <c r="J45" s="336">
        <v>1351</v>
      </c>
      <c r="K45" s="337">
        <v>1700</v>
      </c>
      <c r="L45" s="324">
        <f t="shared" si="0"/>
        <v>22800</v>
      </c>
      <c r="M45" s="338">
        <v>10300</v>
      </c>
      <c r="N45" s="339">
        <v>12500</v>
      </c>
      <c r="O45" s="340">
        <v>0</v>
      </c>
      <c r="P45" s="337">
        <v>0</v>
      </c>
      <c r="Q45" s="341">
        <v>0</v>
      </c>
      <c r="R45" s="340">
        <v>0</v>
      </c>
      <c r="S45" s="337">
        <v>0</v>
      </c>
      <c r="T45" s="341">
        <v>0</v>
      </c>
      <c r="U45" s="340">
        <v>0</v>
      </c>
      <c r="V45" s="337">
        <v>0</v>
      </c>
      <c r="W45" s="341">
        <v>0</v>
      </c>
      <c r="X45" s="340">
        <v>0</v>
      </c>
      <c r="Y45" s="337">
        <v>0</v>
      </c>
      <c r="Z45" s="342">
        <v>0</v>
      </c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5"/>
    </row>
    <row r="46" spans="1:42" s="202" customFormat="1" ht="28.5" customHeight="1" x14ac:dyDescent="0.25">
      <c r="A46" s="240">
        <v>2321</v>
      </c>
      <c r="B46" s="241">
        <v>6121</v>
      </c>
      <c r="C46" s="205">
        <v>7302</v>
      </c>
      <c r="D46" s="330" t="s">
        <v>137</v>
      </c>
      <c r="E46" s="311" t="s">
        <v>127</v>
      </c>
      <c r="F46" s="312">
        <v>400</v>
      </c>
      <c r="G46" s="312">
        <v>2008</v>
      </c>
      <c r="H46" s="313">
        <v>2019</v>
      </c>
      <c r="I46" s="208">
        <f t="shared" si="1"/>
        <v>16866</v>
      </c>
      <c r="J46" s="336">
        <v>1871</v>
      </c>
      <c r="K46" s="337">
        <v>100</v>
      </c>
      <c r="L46" s="324">
        <f t="shared" si="0"/>
        <v>11895</v>
      </c>
      <c r="M46" s="338">
        <v>4895</v>
      </c>
      <c r="N46" s="339">
        <v>7000</v>
      </c>
      <c r="O46" s="340">
        <v>0</v>
      </c>
      <c r="P46" s="337">
        <v>0</v>
      </c>
      <c r="Q46" s="341">
        <v>3000</v>
      </c>
      <c r="R46" s="340">
        <v>0</v>
      </c>
      <c r="S46" s="337">
        <v>0</v>
      </c>
      <c r="T46" s="341">
        <v>0</v>
      </c>
      <c r="U46" s="340">
        <v>0</v>
      </c>
      <c r="V46" s="337">
        <v>0</v>
      </c>
      <c r="W46" s="341">
        <v>0</v>
      </c>
      <c r="X46" s="340">
        <v>0</v>
      </c>
      <c r="Y46" s="337">
        <v>0</v>
      </c>
      <c r="Z46" s="342">
        <v>0</v>
      </c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5"/>
    </row>
    <row r="47" spans="1:42" s="202" customFormat="1" ht="28.5" customHeight="1" x14ac:dyDescent="0.25">
      <c r="A47" s="240">
        <v>2321</v>
      </c>
      <c r="B47" s="241">
        <v>6121</v>
      </c>
      <c r="C47" s="325">
        <v>7303</v>
      </c>
      <c r="D47" s="348" t="s">
        <v>187</v>
      </c>
      <c r="E47" s="311" t="s">
        <v>127</v>
      </c>
      <c r="F47" s="312">
        <v>400</v>
      </c>
      <c r="G47" s="312">
        <v>2009</v>
      </c>
      <c r="H47" s="313">
        <v>2019</v>
      </c>
      <c r="I47" s="208">
        <f t="shared" si="1"/>
        <v>9208</v>
      </c>
      <c r="J47" s="336">
        <v>720</v>
      </c>
      <c r="K47" s="337">
        <v>0</v>
      </c>
      <c r="L47" s="324">
        <f t="shared" si="0"/>
        <v>50</v>
      </c>
      <c r="M47" s="338">
        <v>50</v>
      </c>
      <c r="N47" s="339">
        <v>0</v>
      </c>
      <c r="O47" s="340">
        <v>0</v>
      </c>
      <c r="P47" s="337">
        <v>0</v>
      </c>
      <c r="Q47" s="341">
        <f>8438-8438</f>
        <v>0</v>
      </c>
      <c r="R47" s="340">
        <v>0</v>
      </c>
      <c r="S47" s="337">
        <v>0</v>
      </c>
      <c r="T47" s="341">
        <v>0</v>
      </c>
      <c r="U47" s="340">
        <v>0</v>
      </c>
      <c r="V47" s="337">
        <v>0</v>
      </c>
      <c r="W47" s="341">
        <v>0</v>
      </c>
      <c r="X47" s="340">
        <v>0</v>
      </c>
      <c r="Y47" s="337">
        <v>0</v>
      </c>
      <c r="Z47" s="342">
        <v>8438</v>
      </c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5"/>
    </row>
    <row r="48" spans="1:42" s="202" customFormat="1" ht="28.5" customHeight="1" x14ac:dyDescent="0.25">
      <c r="A48" s="240">
        <v>2321</v>
      </c>
      <c r="B48" s="241">
        <v>6121</v>
      </c>
      <c r="C48" s="325">
        <v>7308</v>
      </c>
      <c r="D48" s="349" t="s">
        <v>188</v>
      </c>
      <c r="E48" s="311" t="s">
        <v>127</v>
      </c>
      <c r="F48" s="312">
        <v>400</v>
      </c>
      <c r="G48" s="312">
        <v>2010</v>
      </c>
      <c r="H48" s="313">
        <v>2020</v>
      </c>
      <c r="I48" s="208">
        <f t="shared" si="1"/>
        <v>21735</v>
      </c>
      <c r="J48" s="336">
        <v>1675</v>
      </c>
      <c r="K48" s="337">
        <v>0</v>
      </c>
      <c r="L48" s="324">
        <f t="shared" si="0"/>
        <v>60</v>
      </c>
      <c r="M48" s="338">
        <v>60</v>
      </c>
      <c r="N48" s="339">
        <v>0</v>
      </c>
      <c r="O48" s="340">
        <v>0</v>
      </c>
      <c r="P48" s="337">
        <v>0</v>
      </c>
      <c r="Q48" s="341">
        <v>0</v>
      </c>
      <c r="R48" s="340">
        <v>0</v>
      </c>
      <c r="S48" s="337">
        <v>0</v>
      </c>
      <c r="T48" s="341">
        <v>0</v>
      </c>
      <c r="U48" s="340">
        <v>0</v>
      </c>
      <c r="V48" s="337">
        <v>0</v>
      </c>
      <c r="W48" s="341">
        <v>0</v>
      </c>
      <c r="X48" s="340">
        <v>0</v>
      </c>
      <c r="Y48" s="337">
        <v>0</v>
      </c>
      <c r="Z48" s="342">
        <v>20000</v>
      </c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5"/>
    </row>
    <row r="49" spans="1:42" s="202" customFormat="1" ht="28.5" customHeight="1" x14ac:dyDescent="0.25">
      <c r="A49" s="240">
        <v>2321</v>
      </c>
      <c r="B49" s="241">
        <v>6121</v>
      </c>
      <c r="C49" s="205">
        <v>7315</v>
      </c>
      <c r="D49" s="350" t="s">
        <v>189</v>
      </c>
      <c r="E49" s="311" t="s">
        <v>147</v>
      </c>
      <c r="F49" s="312">
        <v>400</v>
      </c>
      <c r="G49" s="312">
        <v>2011</v>
      </c>
      <c r="H49" s="313">
        <v>2022</v>
      </c>
      <c r="I49" s="208">
        <f t="shared" si="1"/>
        <v>126050</v>
      </c>
      <c r="J49" s="336">
        <v>7072</v>
      </c>
      <c r="K49" s="337">
        <v>4500</v>
      </c>
      <c r="L49" s="324">
        <f t="shared" si="0"/>
        <v>4000</v>
      </c>
      <c r="M49" s="338">
        <v>3000</v>
      </c>
      <c r="N49" s="339">
        <v>1000</v>
      </c>
      <c r="O49" s="340">
        <v>0</v>
      </c>
      <c r="P49" s="337">
        <v>0</v>
      </c>
      <c r="Q49" s="341">
        <f>10000-10000</f>
        <v>0</v>
      </c>
      <c r="R49" s="340">
        <v>0</v>
      </c>
      <c r="S49" s="337">
        <v>0</v>
      </c>
      <c r="T49" s="341">
        <f>40000-40000</f>
        <v>0</v>
      </c>
      <c r="U49" s="340">
        <v>0</v>
      </c>
      <c r="V49" s="337">
        <v>0</v>
      </c>
      <c r="W49" s="341">
        <f>40000+40000</f>
        <v>80000</v>
      </c>
      <c r="X49" s="340">
        <v>0</v>
      </c>
      <c r="Y49" s="337">
        <v>0</v>
      </c>
      <c r="Z49" s="342">
        <f>20478+10000</f>
        <v>30478</v>
      </c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5"/>
    </row>
    <row r="50" spans="1:42" s="202" customFormat="1" ht="28.5" customHeight="1" x14ac:dyDescent="0.25">
      <c r="A50" s="240">
        <v>2321</v>
      </c>
      <c r="B50" s="241">
        <v>6121</v>
      </c>
      <c r="C50" s="322">
        <v>7316</v>
      </c>
      <c r="D50" s="351" t="s">
        <v>190</v>
      </c>
      <c r="E50" s="311" t="s">
        <v>127</v>
      </c>
      <c r="F50" s="312">
        <v>400</v>
      </c>
      <c r="G50" s="312">
        <v>2011</v>
      </c>
      <c r="H50" s="313">
        <v>2019</v>
      </c>
      <c r="I50" s="208">
        <f t="shared" si="1"/>
        <v>38000</v>
      </c>
      <c r="J50" s="336">
        <v>2757</v>
      </c>
      <c r="K50" s="337">
        <v>6950</v>
      </c>
      <c r="L50" s="324">
        <f t="shared" si="0"/>
        <v>22000</v>
      </c>
      <c r="M50" s="338">
        <v>10000</v>
      </c>
      <c r="N50" s="339">
        <v>12000</v>
      </c>
      <c r="O50" s="340">
        <v>0</v>
      </c>
      <c r="P50" s="337">
        <v>0</v>
      </c>
      <c r="Q50" s="341">
        <v>6293</v>
      </c>
      <c r="R50" s="340">
        <v>0</v>
      </c>
      <c r="S50" s="337">
        <v>0</v>
      </c>
      <c r="T50" s="341">
        <v>0</v>
      </c>
      <c r="U50" s="340">
        <v>0</v>
      </c>
      <c r="V50" s="337">
        <v>0</v>
      </c>
      <c r="W50" s="341">
        <v>0</v>
      </c>
      <c r="X50" s="340">
        <v>0</v>
      </c>
      <c r="Y50" s="337">
        <v>0</v>
      </c>
      <c r="Z50" s="342">
        <v>0</v>
      </c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5"/>
    </row>
    <row r="51" spans="1:42" s="202" customFormat="1" ht="28.5" customHeight="1" x14ac:dyDescent="0.25">
      <c r="A51" s="240">
        <v>2321</v>
      </c>
      <c r="B51" s="241">
        <v>6121</v>
      </c>
      <c r="C51" s="205">
        <v>7318</v>
      </c>
      <c r="D51" s="350" t="s">
        <v>191</v>
      </c>
      <c r="E51" s="311" t="s">
        <v>123</v>
      </c>
      <c r="F51" s="312">
        <v>400</v>
      </c>
      <c r="G51" s="312">
        <v>2012</v>
      </c>
      <c r="H51" s="313">
        <v>2019</v>
      </c>
      <c r="I51" s="208">
        <f t="shared" si="1"/>
        <v>3184</v>
      </c>
      <c r="J51" s="336">
        <v>524</v>
      </c>
      <c r="K51" s="337">
        <v>500</v>
      </c>
      <c r="L51" s="324">
        <f t="shared" si="0"/>
        <v>2160</v>
      </c>
      <c r="M51" s="338">
        <v>1780</v>
      </c>
      <c r="N51" s="339">
        <v>380</v>
      </c>
      <c r="O51" s="340">
        <v>0</v>
      </c>
      <c r="P51" s="337">
        <v>0</v>
      </c>
      <c r="Q51" s="341">
        <v>0</v>
      </c>
      <c r="R51" s="340">
        <v>0</v>
      </c>
      <c r="S51" s="337">
        <v>0</v>
      </c>
      <c r="T51" s="341">
        <v>0</v>
      </c>
      <c r="U51" s="340">
        <v>0</v>
      </c>
      <c r="V51" s="337">
        <v>0</v>
      </c>
      <c r="W51" s="341">
        <v>0</v>
      </c>
      <c r="X51" s="340">
        <v>0</v>
      </c>
      <c r="Y51" s="337">
        <v>0</v>
      </c>
      <c r="Z51" s="342">
        <v>0</v>
      </c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</row>
    <row r="52" spans="1:42" s="202" customFormat="1" ht="28.5" customHeight="1" x14ac:dyDescent="0.25">
      <c r="A52" s="240">
        <v>2321</v>
      </c>
      <c r="B52" s="241">
        <v>6121</v>
      </c>
      <c r="C52" s="205">
        <v>7319</v>
      </c>
      <c r="D52" s="350" t="s">
        <v>138</v>
      </c>
      <c r="E52" s="311" t="s">
        <v>117</v>
      </c>
      <c r="F52" s="312">
        <v>400</v>
      </c>
      <c r="G52" s="312">
        <v>2014</v>
      </c>
      <c r="H52" s="313">
        <v>2020</v>
      </c>
      <c r="I52" s="208">
        <f t="shared" si="1"/>
        <v>35150</v>
      </c>
      <c r="J52" s="336">
        <v>2012</v>
      </c>
      <c r="K52" s="337">
        <v>500</v>
      </c>
      <c r="L52" s="324">
        <f t="shared" si="0"/>
        <v>14500</v>
      </c>
      <c r="M52" s="338">
        <v>4500</v>
      </c>
      <c r="N52" s="339">
        <v>10000</v>
      </c>
      <c r="O52" s="340">
        <v>0</v>
      </c>
      <c r="P52" s="337">
        <v>0</v>
      </c>
      <c r="Q52" s="341">
        <v>18138</v>
      </c>
      <c r="R52" s="340">
        <v>0</v>
      </c>
      <c r="S52" s="337">
        <v>0</v>
      </c>
      <c r="T52" s="341">
        <v>0</v>
      </c>
      <c r="U52" s="340">
        <v>0</v>
      </c>
      <c r="V52" s="337">
        <v>0</v>
      </c>
      <c r="W52" s="341">
        <v>0</v>
      </c>
      <c r="X52" s="340">
        <v>0</v>
      </c>
      <c r="Y52" s="337">
        <v>0</v>
      </c>
      <c r="Z52" s="342">
        <v>0</v>
      </c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5"/>
    </row>
    <row r="53" spans="1:42" s="202" customFormat="1" ht="28.5" customHeight="1" x14ac:dyDescent="0.25">
      <c r="A53" s="240">
        <v>2321</v>
      </c>
      <c r="B53" s="241">
        <v>6121</v>
      </c>
      <c r="C53" s="322">
        <v>7320</v>
      </c>
      <c r="D53" s="351" t="s">
        <v>192</v>
      </c>
      <c r="E53" s="311" t="s">
        <v>145</v>
      </c>
      <c r="F53" s="312">
        <v>400</v>
      </c>
      <c r="G53" s="312">
        <v>2014</v>
      </c>
      <c r="H53" s="313">
        <v>2019</v>
      </c>
      <c r="I53" s="208">
        <f t="shared" si="1"/>
        <v>8380</v>
      </c>
      <c r="J53" s="336">
        <v>806</v>
      </c>
      <c r="K53" s="337">
        <v>6674</v>
      </c>
      <c r="L53" s="324">
        <f t="shared" si="0"/>
        <v>900</v>
      </c>
      <c r="M53" s="338">
        <v>900</v>
      </c>
      <c r="N53" s="339">
        <v>0</v>
      </c>
      <c r="O53" s="340">
        <v>0</v>
      </c>
      <c r="P53" s="337">
        <v>0</v>
      </c>
      <c r="Q53" s="341">
        <v>0</v>
      </c>
      <c r="R53" s="340">
        <v>0</v>
      </c>
      <c r="S53" s="337">
        <v>0</v>
      </c>
      <c r="T53" s="341">
        <v>0</v>
      </c>
      <c r="U53" s="340">
        <v>0</v>
      </c>
      <c r="V53" s="337">
        <v>0</v>
      </c>
      <c r="W53" s="341">
        <v>0</v>
      </c>
      <c r="X53" s="340">
        <v>0</v>
      </c>
      <c r="Y53" s="337">
        <v>0</v>
      </c>
      <c r="Z53" s="352">
        <v>0</v>
      </c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5"/>
    </row>
    <row r="54" spans="1:42" s="202" customFormat="1" ht="28.5" customHeight="1" x14ac:dyDescent="0.25">
      <c r="A54" s="240">
        <v>2321</v>
      </c>
      <c r="B54" s="241">
        <v>6121</v>
      </c>
      <c r="C54" s="322">
        <v>7322</v>
      </c>
      <c r="D54" s="353" t="s">
        <v>193</v>
      </c>
      <c r="E54" s="311" t="s">
        <v>194</v>
      </c>
      <c r="F54" s="312">
        <v>400</v>
      </c>
      <c r="G54" s="312">
        <v>2015</v>
      </c>
      <c r="H54" s="313">
        <v>2019</v>
      </c>
      <c r="I54" s="208">
        <f t="shared" si="1"/>
        <v>15050</v>
      </c>
      <c r="J54" s="336">
        <v>50</v>
      </c>
      <c r="K54" s="337">
        <v>5000</v>
      </c>
      <c r="L54" s="324">
        <f t="shared" si="0"/>
        <v>10000</v>
      </c>
      <c r="M54" s="338">
        <v>0</v>
      </c>
      <c r="N54" s="339">
        <v>10000</v>
      </c>
      <c r="O54" s="340">
        <v>0</v>
      </c>
      <c r="P54" s="337">
        <v>0</v>
      </c>
      <c r="Q54" s="341">
        <v>0</v>
      </c>
      <c r="R54" s="340">
        <v>0</v>
      </c>
      <c r="S54" s="337">
        <v>0</v>
      </c>
      <c r="T54" s="341">
        <v>0</v>
      </c>
      <c r="U54" s="340">
        <v>0</v>
      </c>
      <c r="V54" s="337">
        <v>0</v>
      </c>
      <c r="W54" s="341">
        <v>0</v>
      </c>
      <c r="X54" s="340">
        <v>0</v>
      </c>
      <c r="Y54" s="337">
        <v>0</v>
      </c>
      <c r="Z54" s="352">
        <v>0</v>
      </c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</row>
    <row r="55" spans="1:42" s="202" customFormat="1" ht="28.5" customHeight="1" x14ac:dyDescent="0.25">
      <c r="A55" s="240">
        <v>2321</v>
      </c>
      <c r="B55" s="241">
        <v>6121</v>
      </c>
      <c r="C55" s="205">
        <v>7324</v>
      </c>
      <c r="D55" s="350" t="s">
        <v>195</v>
      </c>
      <c r="E55" s="311" t="s">
        <v>163</v>
      </c>
      <c r="F55" s="312">
        <v>400</v>
      </c>
      <c r="G55" s="312">
        <v>2015</v>
      </c>
      <c r="H55" s="313">
        <v>2018</v>
      </c>
      <c r="I55" s="208">
        <f t="shared" si="1"/>
        <v>21471</v>
      </c>
      <c r="J55" s="336">
        <v>621</v>
      </c>
      <c r="K55" s="337">
        <v>750</v>
      </c>
      <c r="L55" s="324">
        <f t="shared" si="0"/>
        <v>10100</v>
      </c>
      <c r="M55" s="338">
        <v>5900</v>
      </c>
      <c r="N55" s="339">
        <v>4200</v>
      </c>
      <c r="O55" s="340">
        <v>0</v>
      </c>
      <c r="P55" s="337">
        <v>0</v>
      </c>
      <c r="Q55" s="341">
        <v>10000</v>
      </c>
      <c r="R55" s="340">
        <v>0</v>
      </c>
      <c r="S55" s="337">
        <v>0</v>
      </c>
      <c r="T55" s="341">
        <v>0</v>
      </c>
      <c r="U55" s="340">
        <v>0</v>
      </c>
      <c r="V55" s="337">
        <v>0</v>
      </c>
      <c r="W55" s="341">
        <v>0</v>
      </c>
      <c r="X55" s="340">
        <v>0</v>
      </c>
      <c r="Y55" s="337">
        <v>0</v>
      </c>
      <c r="Z55" s="352">
        <v>0</v>
      </c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</row>
    <row r="56" spans="1:42" s="202" customFormat="1" ht="28.5" customHeight="1" x14ac:dyDescent="0.25">
      <c r="A56" s="240">
        <v>2321</v>
      </c>
      <c r="B56" s="241">
        <v>6121</v>
      </c>
      <c r="C56" s="325">
        <v>7331</v>
      </c>
      <c r="D56" s="354" t="s">
        <v>196</v>
      </c>
      <c r="E56" s="311" t="s">
        <v>127</v>
      </c>
      <c r="F56" s="312">
        <v>400</v>
      </c>
      <c r="G56" s="312">
        <v>2015</v>
      </c>
      <c r="H56" s="313">
        <v>2018</v>
      </c>
      <c r="I56" s="208">
        <f t="shared" si="1"/>
        <v>6100</v>
      </c>
      <c r="J56" s="336">
        <v>0</v>
      </c>
      <c r="K56" s="337">
        <v>100</v>
      </c>
      <c r="L56" s="324">
        <f t="shared" si="0"/>
        <v>1000</v>
      </c>
      <c r="M56" s="338">
        <v>0</v>
      </c>
      <c r="N56" s="339">
        <v>1000</v>
      </c>
      <c r="O56" s="340">
        <v>0</v>
      </c>
      <c r="P56" s="337">
        <v>0</v>
      </c>
      <c r="Q56" s="341">
        <f>5000-5000</f>
        <v>0</v>
      </c>
      <c r="R56" s="340">
        <v>0</v>
      </c>
      <c r="S56" s="337">
        <v>0</v>
      </c>
      <c r="T56" s="341">
        <v>0</v>
      </c>
      <c r="U56" s="340">
        <v>0</v>
      </c>
      <c r="V56" s="337">
        <v>0</v>
      </c>
      <c r="W56" s="341">
        <v>0</v>
      </c>
      <c r="X56" s="340">
        <v>0</v>
      </c>
      <c r="Y56" s="337">
        <v>0</v>
      </c>
      <c r="Z56" s="352">
        <v>5000</v>
      </c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5"/>
    </row>
    <row r="57" spans="1:42" s="202" customFormat="1" ht="28.5" customHeight="1" x14ac:dyDescent="0.25">
      <c r="A57" s="240">
        <v>2321</v>
      </c>
      <c r="B57" s="241">
        <v>6121</v>
      </c>
      <c r="C57" s="205">
        <v>7332</v>
      </c>
      <c r="D57" s="350" t="s">
        <v>140</v>
      </c>
      <c r="E57" s="311" t="s">
        <v>197</v>
      </c>
      <c r="F57" s="312">
        <v>400</v>
      </c>
      <c r="G57" s="312">
        <v>2015</v>
      </c>
      <c r="H57" s="313">
        <v>2019</v>
      </c>
      <c r="I57" s="208">
        <f t="shared" si="1"/>
        <v>41486</v>
      </c>
      <c r="J57" s="336">
        <v>2553</v>
      </c>
      <c r="K57" s="337">
        <v>833</v>
      </c>
      <c r="L57" s="324">
        <f t="shared" si="0"/>
        <v>17100</v>
      </c>
      <c r="M57" s="338">
        <f>7000+1100</f>
        <v>8100</v>
      </c>
      <c r="N57" s="339">
        <v>9000</v>
      </c>
      <c r="O57" s="340">
        <v>0</v>
      </c>
      <c r="P57" s="337">
        <v>0</v>
      </c>
      <c r="Q57" s="341">
        <v>20000</v>
      </c>
      <c r="R57" s="340">
        <v>0</v>
      </c>
      <c r="S57" s="337">
        <v>0</v>
      </c>
      <c r="T57" s="341">
        <v>1000</v>
      </c>
      <c r="U57" s="340">
        <v>0</v>
      </c>
      <c r="V57" s="337">
        <v>0</v>
      </c>
      <c r="W57" s="341">
        <v>0</v>
      </c>
      <c r="X57" s="340">
        <v>0</v>
      </c>
      <c r="Y57" s="337">
        <v>0</v>
      </c>
      <c r="Z57" s="352">
        <v>0</v>
      </c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</row>
    <row r="58" spans="1:42" s="26" customFormat="1" ht="28.5" customHeight="1" x14ac:dyDescent="0.25">
      <c r="A58" s="240">
        <v>2321</v>
      </c>
      <c r="B58" s="241">
        <v>6121</v>
      </c>
      <c r="C58" s="205">
        <v>7342</v>
      </c>
      <c r="D58" s="350" t="s">
        <v>198</v>
      </c>
      <c r="E58" s="311" t="s">
        <v>129</v>
      </c>
      <c r="F58" s="312">
        <v>400</v>
      </c>
      <c r="G58" s="312">
        <v>2017</v>
      </c>
      <c r="H58" s="313">
        <v>2021</v>
      </c>
      <c r="I58" s="208">
        <f t="shared" si="1"/>
        <v>11899</v>
      </c>
      <c r="J58" s="336">
        <v>1436</v>
      </c>
      <c r="K58" s="337">
        <v>1388</v>
      </c>
      <c r="L58" s="324">
        <f t="shared" si="0"/>
        <v>3075</v>
      </c>
      <c r="M58" s="338">
        <f>2075</f>
        <v>2075</v>
      </c>
      <c r="N58" s="339">
        <v>1000</v>
      </c>
      <c r="O58" s="340"/>
      <c r="P58" s="337"/>
      <c r="Q58" s="341">
        <v>2000</v>
      </c>
      <c r="R58" s="340">
        <v>0</v>
      </c>
      <c r="S58" s="337">
        <v>0</v>
      </c>
      <c r="T58" s="341">
        <v>2000</v>
      </c>
      <c r="U58" s="340">
        <v>0</v>
      </c>
      <c r="V58" s="337">
        <v>0</v>
      </c>
      <c r="W58" s="341">
        <v>2000</v>
      </c>
      <c r="X58" s="340">
        <v>0</v>
      </c>
      <c r="Y58" s="337">
        <v>0</v>
      </c>
      <c r="Z58" s="352">
        <v>0</v>
      </c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5"/>
    </row>
    <row r="59" spans="1:42" s="26" customFormat="1" ht="28.5" customHeight="1" x14ac:dyDescent="0.25">
      <c r="A59" s="240">
        <v>2321</v>
      </c>
      <c r="B59" s="241">
        <v>6121</v>
      </c>
      <c r="C59" s="322">
        <v>7346</v>
      </c>
      <c r="D59" s="355" t="s">
        <v>146</v>
      </c>
      <c r="E59" s="311" t="s">
        <v>147</v>
      </c>
      <c r="F59" s="312">
        <v>400</v>
      </c>
      <c r="G59" s="312">
        <v>2013</v>
      </c>
      <c r="H59" s="313">
        <v>2019</v>
      </c>
      <c r="I59" s="208">
        <f t="shared" si="1"/>
        <v>10415</v>
      </c>
      <c r="J59" s="336">
        <v>743</v>
      </c>
      <c r="K59" s="337">
        <v>9432</v>
      </c>
      <c r="L59" s="324">
        <f t="shared" si="0"/>
        <v>240</v>
      </c>
      <c r="M59" s="338">
        <v>240</v>
      </c>
      <c r="N59" s="339">
        <v>0</v>
      </c>
      <c r="O59" s="340">
        <v>0</v>
      </c>
      <c r="P59" s="337">
        <v>0</v>
      </c>
      <c r="Q59" s="341">
        <v>0</v>
      </c>
      <c r="R59" s="340">
        <v>0</v>
      </c>
      <c r="S59" s="337">
        <v>0</v>
      </c>
      <c r="T59" s="341">
        <v>0</v>
      </c>
      <c r="U59" s="340">
        <v>0</v>
      </c>
      <c r="V59" s="337">
        <v>0</v>
      </c>
      <c r="W59" s="341">
        <v>0</v>
      </c>
      <c r="X59" s="340">
        <v>0</v>
      </c>
      <c r="Y59" s="337">
        <v>0</v>
      </c>
      <c r="Z59" s="352">
        <v>0</v>
      </c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5"/>
    </row>
    <row r="60" spans="1:42" s="26" customFormat="1" ht="28.5" customHeight="1" x14ac:dyDescent="0.25">
      <c r="A60" s="240">
        <v>2321</v>
      </c>
      <c r="B60" s="241">
        <v>6121</v>
      </c>
      <c r="C60" s="322">
        <v>7347</v>
      </c>
      <c r="D60" s="351" t="s">
        <v>199</v>
      </c>
      <c r="E60" s="311" t="s">
        <v>127</v>
      </c>
      <c r="F60" s="312">
        <v>400</v>
      </c>
      <c r="G60" s="312">
        <v>2016</v>
      </c>
      <c r="H60" s="313">
        <v>2019</v>
      </c>
      <c r="I60" s="208">
        <f t="shared" si="1"/>
        <v>3027</v>
      </c>
      <c r="J60" s="336">
        <v>317</v>
      </c>
      <c r="K60" s="337">
        <v>1800</v>
      </c>
      <c r="L60" s="324">
        <f t="shared" si="0"/>
        <v>910</v>
      </c>
      <c r="M60" s="338">
        <v>910</v>
      </c>
      <c r="N60" s="339">
        <v>0</v>
      </c>
      <c r="O60" s="340">
        <v>0</v>
      </c>
      <c r="P60" s="337">
        <v>0</v>
      </c>
      <c r="Q60" s="341">
        <v>0</v>
      </c>
      <c r="R60" s="340">
        <v>0</v>
      </c>
      <c r="S60" s="337">
        <v>0</v>
      </c>
      <c r="T60" s="341">
        <v>0</v>
      </c>
      <c r="U60" s="340">
        <v>0</v>
      </c>
      <c r="V60" s="337">
        <v>0</v>
      </c>
      <c r="W60" s="341">
        <v>0</v>
      </c>
      <c r="X60" s="340">
        <v>0</v>
      </c>
      <c r="Y60" s="337">
        <v>0</v>
      </c>
      <c r="Z60" s="352">
        <v>0</v>
      </c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5"/>
    </row>
    <row r="61" spans="1:42" s="26" customFormat="1" ht="28.5" customHeight="1" x14ac:dyDescent="0.25">
      <c r="A61" s="240">
        <v>2321</v>
      </c>
      <c r="B61" s="241">
        <v>6121</v>
      </c>
      <c r="C61" s="322">
        <v>7349</v>
      </c>
      <c r="D61" s="351" t="s">
        <v>200</v>
      </c>
      <c r="E61" s="356" t="s">
        <v>201</v>
      </c>
      <c r="F61" s="357">
        <v>400</v>
      </c>
      <c r="G61" s="357">
        <v>2010</v>
      </c>
      <c r="H61" s="358">
        <v>2019</v>
      </c>
      <c r="I61" s="208">
        <f t="shared" si="1"/>
        <v>7980</v>
      </c>
      <c r="J61" s="336">
        <v>828</v>
      </c>
      <c r="K61" s="337">
        <v>2000</v>
      </c>
      <c r="L61" s="324">
        <f t="shared" si="0"/>
        <v>5152</v>
      </c>
      <c r="M61" s="338">
        <v>1000</v>
      </c>
      <c r="N61" s="339">
        <v>4152</v>
      </c>
      <c r="O61" s="340">
        <v>0</v>
      </c>
      <c r="P61" s="337">
        <v>0</v>
      </c>
      <c r="Q61" s="341">
        <v>0</v>
      </c>
      <c r="R61" s="340">
        <v>0</v>
      </c>
      <c r="S61" s="337">
        <v>0</v>
      </c>
      <c r="T61" s="341">
        <v>0</v>
      </c>
      <c r="U61" s="340">
        <v>0</v>
      </c>
      <c r="V61" s="337">
        <v>0</v>
      </c>
      <c r="W61" s="341">
        <v>0</v>
      </c>
      <c r="X61" s="340">
        <v>0</v>
      </c>
      <c r="Y61" s="337">
        <v>0</v>
      </c>
      <c r="Z61" s="352">
        <v>0</v>
      </c>
      <c r="AA61" s="359"/>
      <c r="AB61" s="125"/>
      <c r="AC61" s="125"/>
      <c r="AD61" s="125"/>
      <c r="AE61" s="125"/>
      <c r="AF61" s="125"/>
      <c r="AG61" s="125"/>
      <c r="AH61" s="125"/>
      <c r="AI61" s="125"/>
      <c r="AJ61" s="125"/>
      <c r="AK61" s="125"/>
      <c r="AL61" s="125"/>
      <c r="AM61" s="125"/>
      <c r="AN61" s="125"/>
      <c r="AO61" s="125"/>
      <c r="AP61" s="125"/>
    </row>
    <row r="62" spans="1:42" s="26" customFormat="1" ht="57.75" customHeight="1" x14ac:dyDescent="0.25">
      <c r="A62" s="240">
        <v>2321</v>
      </c>
      <c r="B62" s="241">
        <v>6121</v>
      </c>
      <c r="C62" s="205">
        <v>7352</v>
      </c>
      <c r="D62" s="350" t="s">
        <v>148</v>
      </c>
      <c r="E62" s="360" t="s">
        <v>127</v>
      </c>
      <c r="F62" s="186">
        <v>400</v>
      </c>
      <c r="G62" s="186">
        <v>2008</v>
      </c>
      <c r="H62" s="187">
        <v>2019</v>
      </c>
      <c r="I62" s="208">
        <f t="shared" si="1"/>
        <v>7300</v>
      </c>
      <c r="J62" s="336">
        <v>0</v>
      </c>
      <c r="K62" s="337">
        <v>0</v>
      </c>
      <c r="L62" s="324">
        <f t="shared" si="0"/>
        <v>7300</v>
      </c>
      <c r="M62" s="338">
        <v>0</v>
      </c>
      <c r="N62" s="339">
        <v>7300</v>
      </c>
      <c r="O62" s="340">
        <v>0</v>
      </c>
      <c r="P62" s="337">
        <v>0</v>
      </c>
      <c r="Q62" s="341">
        <v>0</v>
      </c>
      <c r="R62" s="340">
        <v>0</v>
      </c>
      <c r="S62" s="337">
        <v>0</v>
      </c>
      <c r="T62" s="341">
        <v>0</v>
      </c>
      <c r="U62" s="340">
        <v>0</v>
      </c>
      <c r="V62" s="337">
        <v>0</v>
      </c>
      <c r="W62" s="341">
        <v>0</v>
      </c>
      <c r="X62" s="340">
        <v>0</v>
      </c>
      <c r="Y62" s="337">
        <v>0</v>
      </c>
      <c r="Z62" s="352">
        <v>0</v>
      </c>
      <c r="AA62" s="125"/>
      <c r="AB62" s="125"/>
      <c r="AC62" s="125"/>
      <c r="AD62" s="125"/>
      <c r="AE62" s="125"/>
      <c r="AF62" s="125"/>
      <c r="AG62" s="125"/>
      <c r="AH62" s="125"/>
      <c r="AI62" s="125"/>
      <c r="AJ62" s="125"/>
      <c r="AK62" s="125"/>
      <c r="AL62" s="125"/>
      <c r="AM62" s="125"/>
      <c r="AN62" s="125"/>
      <c r="AO62" s="125"/>
      <c r="AP62" s="125"/>
    </row>
    <row r="63" spans="1:42" s="26" customFormat="1" ht="28.5" customHeight="1" x14ac:dyDescent="0.25">
      <c r="A63" s="240">
        <v>2321</v>
      </c>
      <c r="B63" s="241">
        <v>6121</v>
      </c>
      <c r="C63" s="322">
        <v>7354</v>
      </c>
      <c r="D63" s="351" t="s">
        <v>202</v>
      </c>
      <c r="E63" s="361" t="s">
        <v>176</v>
      </c>
      <c r="F63" s="362">
        <v>400</v>
      </c>
      <c r="G63" s="362">
        <v>2016</v>
      </c>
      <c r="H63" s="363">
        <v>2018</v>
      </c>
      <c r="I63" s="208">
        <f t="shared" si="1"/>
        <v>4645</v>
      </c>
      <c r="J63" s="209">
        <v>503</v>
      </c>
      <c r="K63" s="364">
        <v>1742</v>
      </c>
      <c r="L63" s="324">
        <f t="shared" si="0"/>
        <v>2400</v>
      </c>
      <c r="M63" s="338">
        <v>2400</v>
      </c>
      <c r="N63" s="339">
        <v>0</v>
      </c>
      <c r="O63" s="340">
        <v>0</v>
      </c>
      <c r="P63" s="364">
        <v>0</v>
      </c>
      <c r="Q63" s="365">
        <v>0</v>
      </c>
      <c r="R63" s="340">
        <v>0</v>
      </c>
      <c r="S63" s="337">
        <v>0</v>
      </c>
      <c r="T63" s="341">
        <v>0</v>
      </c>
      <c r="U63" s="340">
        <v>0</v>
      </c>
      <c r="V63" s="337">
        <v>0</v>
      </c>
      <c r="W63" s="341">
        <v>0</v>
      </c>
      <c r="X63" s="340">
        <v>0</v>
      </c>
      <c r="Y63" s="337">
        <v>0</v>
      </c>
      <c r="Z63" s="352">
        <v>0</v>
      </c>
      <c r="AA63" s="125"/>
      <c r="AB63" s="125"/>
      <c r="AC63" s="125"/>
      <c r="AD63" s="125"/>
      <c r="AE63" s="125"/>
      <c r="AF63" s="125"/>
      <c r="AG63" s="125"/>
      <c r="AH63" s="125"/>
      <c r="AI63" s="125"/>
      <c r="AJ63" s="125"/>
      <c r="AK63" s="125"/>
      <c r="AL63" s="125"/>
      <c r="AM63" s="125"/>
      <c r="AN63" s="125"/>
      <c r="AO63" s="125"/>
      <c r="AP63" s="125"/>
    </row>
    <row r="64" spans="1:42" s="26" customFormat="1" ht="28.5" customHeight="1" x14ac:dyDescent="0.25">
      <c r="A64" s="240">
        <v>2321</v>
      </c>
      <c r="B64" s="241">
        <v>6121</v>
      </c>
      <c r="C64" s="205">
        <v>7355</v>
      </c>
      <c r="D64" s="350" t="s">
        <v>203</v>
      </c>
      <c r="E64" s="366" t="s">
        <v>127</v>
      </c>
      <c r="F64" s="367">
        <v>400</v>
      </c>
      <c r="G64" s="367">
        <v>2014</v>
      </c>
      <c r="H64" s="368">
        <v>2020</v>
      </c>
      <c r="I64" s="208">
        <f t="shared" si="1"/>
        <v>38043</v>
      </c>
      <c r="J64" s="369">
        <v>1043</v>
      </c>
      <c r="K64" s="370">
        <v>0</v>
      </c>
      <c r="L64" s="324">
        <f t="shared" si="0"/>
        <v>27000</v>
      </c>
      <c r="M64" s="371">
        <v>7000</v>
      </c>
      <c r="N64" s="372">
        <v>20000</v>
      </c>
      <c r="O64" s="373">
        <v>0</v>
      </c>
      <c r="P64" s="370">
        <v>0</v>
      </c>
      <c r="Q64" s="374">
        <v>10000</v>
      </c>
      <c r="R64" s="373">
        <v>0</v>
      </c>
      <c r="S64" s="375">
        <v>0</v>
      </c>
      <c r="T64" s="376">
        <v>0</v>
      </c>
      <c r="U64" s="373">
        <v>0</v>
      </c>
      <c r="V64" s="375">
        <v>0</v>
      </c>
      <c r="W64" s="376">
        <v>0</v>
      </c>
      <c r="X64" s="373">
        <v>0</v>
      </c>
      <c r="Y64" s="375">
        <v>0</v>
      </c>
      <c r="Z64" s="377">
        <v>0</v>
      </c>
      <c r="AA64" s="125"/>
      <c r="AB64" s="125"/>
      <c r="AC64" s="125"/>
      <c r="AD64" s="125"/>
      <c r="AE64" s="125"/>
      <c r="AF64" s="125"/>
      <c r="AG64" s="125"/>
      <c r="AH64" s="125"/>
      <c r="AI64" s="125"/>
      <c r="AJ64" s="125"/>
      <c r="AK64" s="125"/>
      <c r="AL64" s="125"/>
      <c r="AM64" s="125"/>
      <c r="AN64" s="125"/>
      <c r="AO64" s="125"/>
      <c r="AP64" s="125"/>
    </row>
    <row r="65" spans="1:42" s="26" customFormat="1" ht="28.5" customHeight="1" x14ac:dyDescent="0.25">
      <c r="A65" s="240">
        <v>2321</v>
      </c>
      <c r="B65" s="241">
        <v>6121</v>
      </c>
      <c r="C65" s="325">
        <v>7356</v>
      </c>
      <c r="D65" s="378" t="s">
        <v>204</v>
      </c>
      <c r="E65" s="361" t="s">
        <v>117</v>
      </c>
      <c r="F65" s="362">
        <v>400</v>
      </c>
      <c r="G65" s="362">
        <v>2012</v>
      </c>
      <c r="H65" s="363">
        <v>2020</v>
      </c>
      <c r="I65" s="208">
        <f t="shared" si="1"/>
        <v>27078</v>
      </c>
      <c r="J65" s="209">
        <v>1778</v>
      </c>
      <c r="K65" s="364">
        <v>0</v>
      </c>
      <c r="L65" s="324">
        <f t="shared" si="0"/>
        <v>10300</v>
      </c>
      <c r="M65" s="338">
        <v>300</v>
      </c>
      <c r="N65" s="339">
        <v>10000</v>
      </c>
      <c r="O65" s="340">
        <v>0</v>
      </c>
      <c r="P65" s="364">
        <v>0</v>
      </c>
      <c r="Q65" s="365">
        <v>0</v>
      </c>
      <c r="R65" s="340">
        <v>0</v>
      </c>
      <c r="S65" s="337">
        <v>0</v>
      </c>
      <c r="T65" s="341">
        <v>0</v>
      </c>
      <c r="U65" s="340">
        <v>0</v>
      </c>
      <c r="V65" s="337">
        <v>0</v>
      </c>
      <c r="W65" s="341">
        <v>0</v>
      </c>
      <c r="X65" s="340">
        <v>0</v>
      </c>
      <c r="Y65" s="337">
        <v>0</v>
      </c>
      <c r="Z65" s="352">
        <v>15000</v>
      </c>
      <c r="AA65" s="125"/>
      <c r="AB65" s="125"/>
      <c r="AC65" s="125"/>
      <c r="AD65" s="125"/>
      <c r="AE65" s="125"/>
      <c r="AF65" s="125"/>
      <c r="AG65" s="125"/>
      <c r="AH65" s="125"/>
      <c r="AI65" s="125"/>
      <c r="AJ65" s="125"/>
      <c r="AK65" s="125"/>
      <c r="AL65" s="125"/>
      <c r="AM65" s="125"/>
      <c r="AN65" s="125"/>
      <c r="AO65" s="125"/>
      <c r="AP65" s="125"/>
    </row>
    <row r="66" spans="1:42" s="25" customFormat="1" ht="28.5" customHeight="1" x14ac:dyDescent="0.25">
      <c r="A66" s="240">
        <v>2321</v>
      </c>
      <c r="B66" s="241">
        <v>6121</v>
      </c>
      <c r="C66" s="322">
        <v>7357</v>
      </c>
      <c r="D66" s="351" t="s">
        <v>205</v>
      </c>
      <c r="E66" s="379" t="s">
        <v>119</v>
      </c>
      <c r="F66" s="380">
        <v>400</v>
      </c>
      <c r="G66" s="380">
        <v>2016</v>
      </c>
      <c r="H66" s="381">
        <v>2019</v>
      </c>
      <c r="I66" s="208">
        <f t="shared" si="1"/>
        <v>3430</v>
      </c>
      <c r="J66" s="369">
        <v>421</v>
      </c>
      <c r="K66" s="370">
        <v>9</v>
      </c>
      <c r="L66" s="324">
        <f t="shared" si="0"/>
        <v>3000</v>
      </c>
      <c r="M66" s="371">
        <v>0</v>
      </c>
      <c r="N66" s="372">
        <v>3000</v>
      </c>
      <c r="O66" s="373">
        <v>0</v>
      </c>
      <c r="P66" s="370">
        <v>0</v>
      </c>
      <c r="Q66" s="374">
        <v>0</v>
      </c>
      <c r="R66" s="373">
        <v>0</v>
      </c>
      <c r="S66" s="375">
        <v>0</v>
      </c>
      <c r="T66" s="376">
        <v>0</v>
      </c>
      <c r="U66" s="373">
        <v>0</v>
      </c>
      <c r="V66" s="375">
        <v>0</v>
      </c>
      <c r="W66" s="376">
        <v>0</v>
      </c>
      <c r="X66" s="373">
        <v>0</v>
      </c>
      <c r="Y66" s="375">
        <v>0</v>
      </c>
      <c r="Z66" s="377">
        <v>0</v>
      </c>
      <c r="AA66" s="125"/>
      <c r="AB66" s="125"/>
      <c r="AC66" s="125"/>
      <c r="AD66" s="125"/>
      <c r="AE66" s="125"/>
      <c r="AF66" s="125"/>
      <c r="AG66" s="125"/>
      <c r="AH66" s="125"/>
      <c r="AI66" s="125"/>
      <c r="AJ66" s="125"/>
      <c r="AK66" s="125"/>
      <c r="AL66" s="125"/>
      <c r="AM66" s="125"/>
      <c r="AN66" s="125"/>
      <c r="AO66" s="125"/>
      <c r="AP66" s="125"/>
    </row>
    <row r="67" spans="1:42" s="25" customFormat="1" ht="28.5" customHeight="1" thickBot="1" x14ac:dyDescent="0.3">
      <c r="A67" s="1100">
        <v>2321</v>
      </c>
      <c r="B67" s="1101">
        <v>6121</v>
      </c>
      <c r="C67" s="1102">
        <v>7358</v>
      </c>
      <c r="D67" s="1129" t="s">
        <v>206</v>
      </c>
      <c r="E67" s="1130" t="s">
        <v>129</v>
      </c>
      <c r="F67" s="1131">
        <v>400</v>
      </c>
      <c r="G67" s="1131">
        <v>2017</v>
      </c>
      <c r="H67" s="1132">
        <v>2022</v>
      </c>
      <c r="I67" s="1107">
        <f t="shared" si="1"/>
        <v>5000</v>
      </c>
      <c r="J67" s="1133">
        <v>0</v>
      </c>
      <c r="K67" s="1134">
        <v>0</v>
      </c>
      <c r="L67" s="1110">
        <f t="shared" si="0"/>
        <v>5000</v>
      </c>
      <c r="M67" s="1111">
        <v>5000</v>
      </c>
      <c r="N67" s="1112">
        <v>0</v>
      </c>
      <c r="O67" s="1113">
        <v>0</v>
      </c>
      <c r="P67" s="1134">
        <v>0</v>
      </c>
      <c r="Q67" s="1135">
        <v>0</v>
      </c>
      <c r="R67" s="1113">
        <v>0</v>
      </c>
      <c r="S67" s="1109">
        <v>0</v>
      </c>
      <c r="T67" s="1114">
        <v>0</v>
      </c>
      <c r="U67" s="1113">
        <v>0</v>
      </c>
      <c r="V67" s="1109">
        <v>0</v>
      </c>
      <c r="W67" s="1114">
        <v>0</v>
      </c>
      <c r="X67" s="1113">
        <v>0</v>
      </c>
      <c r="Y67" s="1109">
        <v>0</v>
      </c>
      <c r="Z67" s="1136">
        <v>0</v>
      </c>
      <c r="AA67" s="125"/>
      <c r="AB67" s="125"/>
      <c r="AC67" s="125"/>
      <c r="AD67" s="125"/>
      <c r="AE67" s="125"/>
      <c r="AF67" s="125"/>
      <c r="AG67" s="125"/>
      <c r="AH67" s="125"/>
      <c r="AI67" s="125"/>
      <c r="AJ67" s="125"/>
      <c r="AK67" s="125"/>
      <c r="AL67" s="125"/>
      <c r="AM67" s="125"/>
      <c r="AN67" s="125"/>
      <c r="AO67" s="125"/>
      <c r="AP67" s="125"/>
    </row>
    <row r="68" spans="1:42" s="25" customFormat="1" ht="28.5" customHeight="1" x14ac:dyDescent="0.25">
      <c r="A68" s="1116">
        <v>2321</v>
      </c>
      <c r="B68" s="1117">
        <v>6121</v>
      </c>
      <c r="C68" s="1094">
        <v>7359</v>
      </c>
      <c r="D68" s="1118" t="s">
        <v>207</v>
      </c>
      <c r="E68" s="765" t="s">
        <v>147</v>
      </c>
      <c r="F68" s="440">
        <v>400</v>
      </c>
      <c r="G68" s="440">
        <v>2014</v>
      </c>
      <c r="H68" s="1119">
        <v>2020</v>
      </c>
      <c r="I68" s="402">
        <f t="shared" si="1"/>
        <v>12688</v>
      </c>
      <c r="J68" s="1120">
        <v>793</v>
      </c>
      <c r="K68" s="1121">
        <v>32</v>
      </c>
      <c r="L68" s="1097">
        <f t="shared" si="0"/>
        <v>11563</v>
      </c>
      <c r="M68" s="1122">
        <v>1950</v>
      </c>
      <c r="N68" s="1123">
        <v>9613</v>
      </c>
      <c r="O68" s="1124">
        <v>0</v>
      </c>
      <c r="P68" s="1121">
        <v>0</v>
      </c>
      <c r="Q68" s="1125">
        <v>300</v>
      </c>
      <c r="R68" s="1124">
        <v>0</v>
      </c>
      <c r="S68" s="1126">
        <v>0</v>
      </c>
      <c r="T68" s="1127">
        <v>0</v>
      </c>
      <c r="U68" s="1124">
        <v>0</v>
      </c>
      <c r="V68" s="1126">
        <v>0</v>
      </c>
      <c r="W68" s="1127">
        <v>0</v>
      </c>
      <c r="X68" s="1124">
        <v>0</v>
      </c>
      <c r="Y68" s="1126">
        <v>0</v>
      </c>
      <c r="Z68" s="1128">
        <v>0</v>
      </c>
      <c r="AA68" s="125"/>
      <c r="AB68" s="125"/>
      <c r="AC68" s="125"/>
      <c r="AD68" s="125"/>
      <c r="AE68" s="125"/>
      <c r="AF68" s="125"/>
      <c r="AG68" s="125"/>
      <c r="AH68" s="125"/>
      <c r="AI68" s="125"/>
      <c r="AJ68" s="125"/>
      <c r="AK68" s="125"/>
      <c r="AL68" s="125"/>
      <c r="AM68" s="125"/>
      <c r="AN68" s="125"/>
      <c r="AO68" s="125"/>
      <c r="AP68" s="125"/>
    </row>
    <row r="69" spans="1:42" s="25" customFormat="1" ht="28.5" customHeight="1" x14ac:dyDescent="0.25">
      <c r="A69" s="384">
        <v>2321</v>
      </c>
      <c r="B69" s="385">
        <v>6121</v>
      </c>
      <c r="C69" s="335">
        <v>7361</v>
      </c>
      <c r="D69" s="386" t="s">
        <v>208</v>
      </c>
      <c r="E69" s="387" t="s">
        <v>123</v>
      </c>
      <c r="F69" s="388">
        <v>400</v>
      </c>
      <c r="G69" s="388">
        <v>2008</v>
      </c>
      <c r="H69" s="389">
        <v>2019</v>
      </c>
      <c r="I69" s="390">
        <f t="shared" si="1"/>
        <v>12609</v>
      </c>
      <c r="J69" s="391">
        <v>1259</v>
      </c>
      <c r="K69" s="392">
        <v>50</v>
      </c>
      <c r="L69" s="393">
        <f t="shared" si="0"/>
        <v>9300</v>
      </c>
      <c r="M69" s="394">
        <v>0</v>
      </c>
      <c r="N69" s="395">
        <v>9300</v>
      </c>
      <c r="O69" s="396">
        <v>0</v>
      </c>
      <c r="P69" s="392">
        <v>0</v>
      </c>
      <c r="Q69" s="397">
        <v>2000</v>
      </c>
      <c r="R69" s="396">
        <v>0</v>
      </c>
      <c r="S69" s="398">
        <v>0</v>
      </c>
      <c r="T69" s="399">
        <v>0</v>
      </c>
      <c r="U69" s="396">
        <v>0</v>
      </c>
      <c r="V69" s="398">
        <v>0</v>
      </c>
      <c r="W69" s="399">
        <v>0</v>
      </c>
      <c r="X69" s="396">
        <v>0</v>
      </c>
      <c r="Y69" s="398">
        <v>0</v>
      </c>
      <c r="Z69" s="400">
        <v>0</v>
      </c>
      <c r="AA69" s="125"/>
      <c r="AB69" s="125"/>
      <c r="AC69" s="125"/>
      <c r="AD69" s="125"/>
      <c r="AE69" s="125"/>
      <c r="AF69" s="125"/>
      <c r="AG69" s="125"/>
      <c r="AH69" s="125"/>
      <c r="AI69" s="125"/>
      <c r="AJ69" s="125"/>
      <c r="AK69" s="125"/>
      <c r="AL69" s="125"/>
      <c r="AM69" s="125"/>
      <c r="AN69" s="125"/>
      <c r="AO69" s="125"/>
      <c r="AP69" s="125"/>
    </row>
    <row r="70" spans="1:42" s="28" customFormat="1" ht="29.25" customHeight="1" x14ac:dyDescent="0.25">
      <c r="A70" s="254">
        <v>2321</v>
      </c>
      <c r="B70" s="254">
        <v>6121</v>
      </c>
      <c r="C70" s="205">
        <v>7362</v>
      </c>
      <c r="D70" s="382" t="s">
        <v>209</v>
      </c>
      <c r="E70" s="401" t="s">
        <v>129</v>
      </c>
      <c r="F70" s="223">
        <v>400</v>
      </c>
      <c r="G70" s="223">
        <v>2019</v>
      </c>
      <c r="H70" s="224">
        <v>2019</v>
      </c>
      <c r="I70" s="402">
        <f t="shared" si="1"/>
        <v>39000</v>
      </c>
      <c r="J70" s="314">
        <v>0</v>
      </c>
      <c r="K70" s="315">
        <v>0</v>
      </c>
      <c r="L70" s="403">
        <f t="shared" si="0"/>
        <v>7000</v>
      </c>
      <c r="M70" s="317">
        <v>0</v>
      </c>
      <c r="N70" s="318">
        <v>7000</v>
      </c>
      <c r="O70" s="319">
        <v>0</v>
      </c>
      <c r="P70" s="404">
        <v>0</v>
      </c>
      <c r="Q70" s="405">
        <v>32000</v>
      </c>
      <c r="R70" s="319">
        <v>0</v>
      </c>
      <c r="S70" s="406">
        <v>0</v>
      </c>
      <c r="T70" s="320">
        <v>0</v>
      </c>
      <c r="U70" s="319">
        <v>0</v>
      </c>
      <c r="V70" s="315">
        <v>0</v>
      </c>
      <c r="W70" s="320">
        <v>0</v>
      </c>
      <c r="X70" s="319">
        <v>0</v>
      </c>
      <c r="Y70" s="407">
        <v>0</v>
      </c>
      <c r="Z70" s="408">
        <v>0</v>
      </c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</row>
    <row r="71" spans="1:42" s="25" customFormat="1" ht="28.5" customHeight="1" x14ac:dyDescent="0.25">
      <c r="A71" s="240">
        <v>2321</v>
      </c>
      <c r="B71" s="241">
        <v>6121</v>
      </c>
      <c r="C71" s="325">
        <v>7364</v>
      </c>
      <c r="D71" s="409" t="s">
        <v>210</v>
      </c>
      <c r="E71" s="366" t="s">
        <v>211</v>
      </c>
      <c r="F71" s="367">
        <v>400</v>
      </c>
      <c r="G71" s="367">
        <v>2018</v>
      </c>
      <c r="H71" s="368">
        <v>2022</v>
      </c>
      <c r="I71" s="208">
        <f t="shared" si="1"/>
        <v>41200</v>
      </c>
      <c r="J71" s="369">
        <v>0</v>
      </c>
      <c r="K71" s="370">
        <v>200</v>
      </c>
      <c r="L71" s="324">
        <f t="shared" si="0"/>
        <v>2000</v>
      </c>
      <c r="M71" s="371">
        <v>0</v>
      </c>
      <c r="N71" s="372">
        <v>2000</v>
      </c>
      <c r="O71" s="373">
        <v>0</v>
      </c>
      <c r="P71" s="370">
        <v>0</v>
      </c>
      <c r="Q71" s="374">
        <v>0</v>
      </c>
      <c r="R71" s="373">
        <v>0</v>
      </c>
      <c r="S71" s="375">
        <v>0</v>
      </c>
      <c r="T71" s="376">
        <f>29000-29000</f>
        <v>0</v>
      </c>
      <c r="U71" s="373">
        <v>0</v>
      </c>
      <c r="V71" s="375">
        <v>0</v>
      </c>
      <c r="W71" s="376">
        <v>10000</v>
      </c>
      <c r="X71" s="373">
        <v>0</v>
      </c>
      <c r="Y71" s="375">
        <v>0</v>
      </c>
      <c r="Z71" s="377">
        <v>29000</v>
      </c>
      <c r="AA71" s="125"/>
      <c r="AB71" s="125"/>
      <c r="AC71" s="125"/>
      <c r="AD71" s="125"/>
      <c r="AE71" s="125"/>
      <c r="AF71" s="125"/>
      <c r="AG71" s="125"/>
      <c r="AH71" s="125"/>
      <c r="AI71" s="125"/>
      <c r="AJ71" s="125"/>
      <c r="AK71" s="125"/>
      <c r="AL71" s="125"/>
      <c r="AM71" s="125"/>
      <c r="AN71" s="125"/>
      <c r="AO71" s="125"/>
      <c r="AP71" s="125"/>
    </row>
    <row r="72" spans="1:42" s="25" customFormat="1" ht="28.5" customHeight="1" x14ac:dyDescent="0.25">
      <c r="A72" s="240">
        <v>2321</v>
      </c>
      <c r="B72" s="241">
        <v>6121</v>
      </c>
      <c r="C72" s="325">
        <v>7365</v>
      </c>
      <c r="D72" s="409" t="s">
        <v>212</v>
      </c>
      <c r="E72" s="366" t="s">
        <v>211</v>
      </c>
      <c r="F72" s="367">
        <v>400</v>
      </c>
      <c r="G72" s="367">
        <v>2018</v>
      </c>
      <c r="H72" s="368">
        <v>2020</v>
      </c>
      <c r="I72" s="208">
        <f t="shared" si="1"/>
        <v>4600</v>
      </c>
      <c r="J72" s="369">
        <v>0</v>
      </c>
      <c r="K72" s="370">
        <v>100</v>
      </c>
      <c r="L72" s="324">
        <f t="shared" si="0"/>
        <v>800</v>
      </c>
      <c r="M72" s="371">
        <v>0</v>
      </c>
      <c r="N72" s="372">
        <v>800</v>
      </c>
      <c r="O72" s="373">
        <v>0</v>
      </c>
      <c r="P72" s="370">
        <v>0</v>
      </c>
      <c r="Q72" s="374">
        <f>3700-3700</f>
        <v>0</v>
      </c>
      <c r="R72" s="373">
        <v>0</v>
      </c>
      <c r="S72" s="375">
        <v>0</v>
      </c>
      <c r="T72" s="376">
        <v>0</v>
      </c>
      <c r="U72" s="373">
        <v>0</v>
      </c>
      <c r="V72" s="375">
        <v>0</v>
      </c>
      <c r="W72" s="376">
        <v>0</v>
      </c>
      <c r="X72" s="373">
        <v>0</v>
      </c>
      <c r="Y72" s="375">
        <v>0</v>
      </c>
      <c r="Z72" s="377">
        <v>3700</v>
      </c>
      <c r="AA72" s="125"/>
      <c r="AB72" s="125"/>
      <c r="AC72" s="125"/>
      <c r="AD72" s="125"/>
      <c r="AE72" s="125"/>
      <c r="AF72" s="125"/>
      <c r="AG72" s="125"/>
      <c r="AH72" s="125"/>
      <c r="AI72" s="125"/>
      <c r="AJ72" s="125"/>
      <c r="AK72" s="125"/>
      <c r="AL72" s="125"/>
      <c r="AM72" s="125"/>
      <c r="AN72" s="125"/>
      <c r="AO72" s="125"/>
      <c r="AP72" s="125"/>
    </row>
    <row r="73" spans="1:42" s="25" customFormat="1" ht="28.5" customHeight="1" x14ac:dyDescent="0.25">
      <c r="A73" s="240">
        <v>2321</v>
      </c>
      <c r="B73" s="241">
        <v>6121</v>
      </c>
      <c r="C73" s="410">
        <v>7366</v>
      </c>
      <c r="D73" s="411" t="s">
        <v>151</v>
      </c>
      <c r="E73" s="379" t="s">
        <v>129</v>
      </c>
      <c r="F73" s="380">
        <v>400</v>
      </c>
      <c r="G73" s="380">
        <v>2018</v>
      </c>
      <c r="H73" s="368">
        <v>2022</v>
      </c>
      <c r="I73" s="208">
        <f>J73+K73+L73+SUM(Q73:Z73)</f>
        <v>10000</v>
      </c>
      <c r="J73" s="369">
        <v>0</v>
      </c>
      <c r="K73" s="370">
        <v>0</v>
      </c>
      <c r="L73" s="324">
        <f>M73+N73+O73+P73</f>
        <v>2000</v>
      </c>
      <c r="M73" s="371">
        <v>0</v>
      </c>
      <c r="N73" s="372">
        <v>2000</v>
      </c>
      <c r="O73" s="373">
        <v>0</v>
      </c>
      <c r="P73" s="370">
        <v>0</v>
      </c>
      <c r="Q73" s="374">
        <v>2000</v>
      </c>
      <c r="R73" s="373">
        <v>0</v>
      </c>
      <c r="S73" s="375">
        <v>0</v>
      </c>
      <c r="T73" s="376">
        <v>2000</v>
      </c>
      <c r="U73" s="373">
        <v>0</v>
      </c>
      <c r="V73" s="375">
        <v>0</v>
      </c>
      <c r="W73" s="376">
        <v>2000</v>
      </c>
      <c r="X73" s="373">
        <v>0</v>
      </c>
      <c r="Y73" s="375">
        <v>0</v>
      </c>
      <c r="Z73" s="377">
        <v>2000</v>
      </c>
      <c r="AA73" s="125"/>
      <c r="AB73" s="125"/>
      <c r="AC73" s="125"/>
      <c r="AD73" s="125"/>
      <c r="AE73" s="125"/>
      <c r="AF73" s="125"/>
      <c r="AG73" s="125"/>
      <c r="AH73" s="125"/>
      <c r="AI73" s="125"/>
      <c r="AJ73" s="125"/>
      <c r="AK73" s="125"/>
      <c r="AL73" s="125"/>
      <c r="AM73" s="125"/>
      <c r="AN73" s="125"/>
      <c r="AO73" s="125"/>
      <c r="AP73" s="125"/>
    </row>
    <row r="74" spans="1:42" s="25" customFormat="1" ht="28.5" customHeight="1" thickBot="1" x14ac:dyDescent="0.3">
      <c r="A74" s="240">
        <v>2321</v>
      </c>
      <c r="B74" s="241">
        <v>6121</v>
      </c>
      <c r="C74" s="412">
        <v>7375</v>
      </c>
      <c r="D74" s="413" t="s">
        <v>213</v>
      </c>
      <c r="E74" s="414" t="s">
        <v>142</v>
      </c>
      <c r="F74" s="415">
        <v>400</v>
      </c>
      <c r="G74" s="415">
        <v>2016</v>
      </c>
      <c r="H74" s="416">
        <v>2020</v>
      </c>
      <c r="I74" s="208">
        <f>J74+K74+L74+SUM(Q74:Z74)</f>
        <v>53300</v>
      </c>
      <c r="J74" s="369">
        <v>0</v>
      </c>
      <c r="K74" s="370">
        <v>0</v>
      </c>
      <c r="L74" s="324">
        <f>M74+N74+O74+P74</f>
        <v>3300</v>
      </c>
      <c r="M74" s="371">
        <v>0</v>
      </c>
      <c r="N74" s="372">
        <v>3300</v>
      </c>
      <c r="O74" s="373">
        <v>0</v>
      </c>
      <c r="P74" s="370">
        <v>0</v>
      </c>
      <c r="Q74" s="374">
        <f>5000-5000</f>
        <v>0</v>
      </c>
      <c r="R74" s="373">
        <v>0</v>
      </c>
      <c r="S74" s="375">
        <v>0</v>
      </c>
      <c r="T74" s="376">
        <v>0</v>
      </c>
      <c r="U74" s="373">
        <v>0</v>
      </c>
      <c r="V74" s="375">
        <v>0</v>
      </c>
      <c r="W74" s="376">
        <v>0</v>
      </c>
      <c r="X74" s="373">
        <v>0</v>
      </c>
      <c r="Y74" s="375">
        <v>0</v>
      </c>
      <c r="Z74" s="377">
        <v>50000</v>
      </c>
      <c r="AA74" s="125"/>
      <c r="AB74" s="125"/>
      <c r="AC74" s="125"/>
      <c r="AD74" s="125"/>
      <c r="AE74" s="125"/>
      <c r="AF74" s="125"/>
      <c r="AG74" s="125"/>
      <c r="AH74" s="125"/>
      <c r="AI74" s="125"/>
      <c r="AJ74" s="125"/>
      <c r="AK74" s="125"/>
      <c r="AL74" s="125"/>
      <c r="AM74" s="125"/>
      <c r="AN74" s="125"/>
      <c r="AO74" s="125"/>
      <c r="AP74" s="125"/>
    </row>
    <row r="75" spans="1:42" ht="28.5" customHeight="1" thickBot="1" x14ac:dyDescent="0.3">
      <c r="A75" s="417"/>
      <c r="B75" s="417"/>
      <c r="C75" s="418"/>
      <c r="D75" s="1537" t="s">
        <v>83</v>
      </c>
      <c r="E75" s="1537"/>
      <c r="F75" s="1537"/>
      <c r="G75" s="1537"/>
      <c r="H75" s="1538"/>
      <c r="I75" s="419">
        <f t="shared" ref="I75:Z75" si="2">SUM(I11:I74)</f>
        <v>2780941</v>
      </c>
      <c r="J75" s="420">
        <f t="shared" si="2"/>
        <v>309721</v>
      </c>
      <c r="K75" s="421">
        <f t="shared" si="2"/>
        <v>187194</v>
      </c>
      <c r="L75" s="422">
        <f t="shared" si="2"/>
        <v>543565</v>
      </c>
      <c r="M75" s="420">
        <f t="shared" si="2"/>
        <v>200669</v>
      </c>
      <c r="N75" s="423">
        <f t="shared" si="2"/>
        <v>295200</v>
      </c>
      <c r="O75" s="423">
        <f t="shared" si="2"/>
        <v>47696</v>
      </c>
      <c r="P75" s="423">
        <f t="shared" si="2"/>
        <v>0</v>
      </c>
      <c r="Q75" s="423">
        <f t="shared" si="2"/>
        <v>409321</v>
      </c>
      <c r="R75" s="423">
        <f t="shared" si="2"/>
        <v>31424</v>
      </c>
      <c r="S75" s="423">
        <f t="shared" si="2"/>
        <v>0</v>
      </c>
      <c r="T75" s="423">
        <f t="shared" si="2"/>
        <v>415783</v>
      </c>
      <c r="U75" s="423">
        <f t="shared" si="2"/>
        <v>31000</v>
      </c>
      <c r="V75" s="423">
        <f t="shared" si="2"/>
        <v>0</v>
      </c>
      <c r="W75" s="423">
        <f t="shared" si="2"/>
        <v>410278</v>
      </c>
      <c r="X75" s="423">
        <f t="shared" si="2"/>
        <v>31000</v>
      </c>
      <c r="Y75" s="423">
        <f t="shared" si="2"/>
        <v>0</v>
      </c>
      <c r="Z75" s="424">
        <f t="shared" si="2"/>
        <v>411655</v>
      </c>
    </row>
    <row r="76" spans="1:42" ht="15.75" customHeight="1" x14ac:dyDescent="0.25">
      <c r="A76" s="425"/>
      <c r="B76" s="425"/>
      <c r="C76" s="425"/>
      <c r="D76" s="426"/>
      <c r="E76" s="426"/>
      <c r="F76" s="426"/>
      <c r="G76" s="426"/>
      <c r="H76" s="426"/>
      <c r="I76" s="427"/>
      <c r="J76" s="428"/>
      <c r="K76" s="428"/>
      <c r="L76" s="428"/>
      <c r="M76" s="428"/>
      <c r="N76" s="428"/>
      <c r="O76" s="429"/>
      <c r="P76" s="429"/>
      <c r="Q76" s="429"/>
      <c r="R76" s="429"/>
      <c r="S76" s="429"/>
      <c r="T76" s="429"/>
      <c r="U76" s="429"/>
      <c r="V76" s="429"/>
      <c r="W76" s="430"/>
      <c r="X76" s="431"/>
      <c r="Y76" s="432"/>
      <c r="Z76" s="432"/>
    </row>
    <row r="77" spans="1:42" s="433" customFormat="1" ht="21.75" customHeight="1" x14ac:dyDescent="0.2">
      <c r="D77" s="434"/>
      <c r="E77" s="435"/>
      <c r="F77" s="435"/>
      <c r="G77" s="435"/>
      <c r="H77" s="435"/>
      <c r="I77" s="434"/>
      <c r="J77" s="434"/>
      <c r="K77" s="434"/>
      <c r="L77" s="434"/>
      <c r="M77" s="434"/>
      <c r="N77" s="434"/>
      <c r="O77" s="434"/>
      <c r="P77" s="434"/>
      <c r="Q77" s="434"/>
      <c r="R77" s="434"/>
      <c r="S77" s="434"/>
      <c r="T77" s="434"/>
      <c r="U77" s="434"/>
      <c r="V77" s="434"/>
      <c r="W77" s="434"/>
      <c r="AA77" s="125"/>
      <c r="AB77" s="125"/>
      <c r="AC77" s="125"/>
      <c r="AD77" s="125"/>
      <c r="AE77" s="125"/>
      <c r="AF77" s="125"/>
      <c r="AG77" s="125"/>
      <c r="AH77" s="125"/>
      <c r="AI77" s="125"/>
      <c r="AJ77" s="125"/>
      <c r="AK77" s="125"/>
      <c r="AL77" s="125"/>
      <c r="AM77" s="125"/>
      <c r="AN77" s="125"/>
      <c r="AO77" s="125"/>
      <c r="AP77" s="125"/>
    </row>
    <row r="78" spans="1:42" s="433" customFormat="1" ht="21.75" customHeight="1" x14ac:dyDescent="0.25">
      <c r="D78" s="292"/>
      <c r="E78" s="435"/>
      <c r="F78" s="435"/>
      <c r="G78" s="435"/>
      <c r="H78" s="435"/>
      <c r="I78" s="434"/>
      <c r="J78" s="434"/>
      <c r="K78" s="434"/>
      <c r="L78" s="434"/>
      <c r="M78" s="434"/>
      <c r="N78" s="434"/>
      <c r="O78" s="434"/>
      <c r="P78" s="434"/>
      <c r="Q78" s="434"/>
      <c r="R78" s="434"/>
      <c r="S78" s="434"/>
      <c r="T78" s="434"/>
      <c r="U78" s="434"/>
      <c r="V78" s="434"/>
      <c r="W78" s="434"/>
      <c r="AA78" s="125"/>
      <c r="AB78" s="125"/>
      <c r="AC78" s="125"/>
      <c r="AD78" s="125"/>
      <c r="AE78" s="125"/>
      <c r="AF78" s="125"/>
      <c r="AG78" s="125"/>
      <c r="AH78" s="125"/>
      <c r="AI78" s="125"/>
      <c r="AJ78" s="125"/>
      <c r="AK78" s="125"/>
      <c r="AL78" s="125"/>
      <c r="AM78" s="125"/>
      <c r="AN78" s="125"/>
      <c r="AO78" s="125"/>
      <c r="AP78" s="125"/>
    </row>
    <row r="79" spans="1:42" s="433" customFormat="1" ht="21.75" customHeight="1" x14ac:dyDescent="0.2">
      <c r="E79" s="125"/>
      <c r="F79" s="125"/>
      <c r="G79" s="125"/>
      <c r="H79" s="125"/>
      <c r="AA79" s="125"/>
      <c r="AB79" s="125"/>
      <c r="AC79" s="125"/>
      <c r="AD79" s="125"/>
      <c r="AE79" s="125"/>
      <c r="AF79" s="125"/>
      <c r="AG79" s="125"/>
      <c r="AH79" s="125"/>
      <c r="AI79" s="125"/>
      <c r="AJ79" s="125"/>
      <c r="AK79" s="125"/>
      <c r="AL79" s="125"/>
      <c r="AM79" s="125"/>
      <c r="AN79" s="125"/>
      <c r="AO79" s="125"/>
      <c r="AP79" s="125"/>
    </row>
    <row r="80" spans="1:42" ht="21.75" customHeight="1" x14ac:dyDescent="0.2">
      <c r="A80" s="433"/>
      <c r="B80" s="433"/>
      <c r="C80" s="433"/>
      <c r="D80" s="433"/>
      <c r="I80" s="433"/>
      <c r="J80" s="433"/>
      <c r="K80" s="433"/>
      <c r="L80" s="433"/>
      <c r="M80" s="433"/>
      <c r="N80" s="433"/>
    </row>
    <row r="81" spans="1:4" ht="21.75" customHeight="1" x14ac:dyDescent="0.2">
      <c r="A81" s="433"/>
      <c r="B81" s="433"/>
      <c r="C81" s="433"/>
      <c r="D81" s="433"/>
    </row>
    <row r="82" spans="1:4" ht="21.75" customHeight="1" x14ac:dyDescent="0.2">
      <c r="A82" s="433"/>
      <c r="B82" s="433"/>
      <c r="C82" s="433"/>
      <c r="D82" s="433"/>
    </row>
    <row r="83" spans="1:4" ht="21.75" customHeight="1" x14ac:dyDescent="0.2">
      <c r="A83" s="433"/>
      <c r="B83" s="433"/>
      <c r="C83" s="433"/>
      <c r="D83" s="433"/>
    </row>
    <row r="84" spans="1:4" ht="21.75" customHeight="1" x14ac:dyDescent="0.2">
      <c r="A84" s="433"/>
      <c r="B84" s="433"/>
      <c r="C84" s="433"/>
    </row>
    <row r="85" spans="1:4" ht="21.75" customHeight="1" x14ac:dyDescent="0.2"/>
    <row r="86" spans="1:4" ht="21.75" customHeight="1" x14ac:dyDescent="0.2"/>
    <row r="87" spans="1:4" ht="21.75" customHeight="1" x14ac:dyDescent="0.2"/>
    <row r="88" spans="1:4" ht="21.75" customHeight="1" x14ac:dyDescent="0.2"/>
    <row r="89" spans="1:4" ht="21.75" customHeight="1" x14ac:dyDescent="0.2"/>
    <row r="90" spans="1:4" ht="21.75" customHeight="1" x14ac:dyDescent="0.2"/>
    <row r="91" spans="1:4" ht="21.75" customHeight="1" x14ac:dyDescent="0.2"/>
  </sheetData>
  <sheetProtection selectLockedCells="1" selectUnlockedCells="1"/>
  <mergeCells count="25">
    <mergeCell ref="D75:H75"/>
    <mergeCell ref="L8:L9"/>
    <mergeCell ref="M8:M9"/>
    <mergeCell ref="N8:N9"/>
    <mergeCell ref="O8:O9"/>
    <mergeCell ref="J8:J9"/>
    <mergeCell ref="A8:A9"/>
    <mergeCell ref="B8:B9"/>
    <mergeCell ref="C8:C9"/>
    <mergeCell ref="G8:G9"/>
    <mergeCell ref="H8:H9"/>
    <mergeCell ref="D1:Z1"/>
    <mergeCell ref="D7:D9"/>
    <mergeCell ref="E7:E9"/>
    <mergeCell ref="F7:F9"/>
    <mergeCell ref="G7:H7"/>
    <mergeCell ref="I7:I9"/>
    <mergeCell ref="M7:P7"/>
    <mergeCell ref="Q7:Y7"/>
    <mergeCell ref="Z7:Z9"/>
    <mergeCell ref="K8:K9"/>
    <mergeCell ref="T8:V8"/>
    <mergeCell ref="W8:Y8"/>
    <mergeCell ref="P8:P9"/>
    <mergeCell ref="Q8:S8"/>
  </mergeCells>
  <pageMargins left="0.70866141732283472" right="0.70866141732283472" top="0.74803149606299213" bottom="0.74803149606299213" header="0.31496062992125984" footer="0.31496062992125984"/>
  <pageSetup paperSize="8" scale="72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SUMÁŘ DLE ORJ</vt:lpstr>
      <vt:lpstr>PODLE ORJ</vt:lpstr>
      <vt:lpstr>Příloha B - Pitná voda</vt:lpstr>
      <vt:lpstr>Příloha C - kanalizace</vt:lpstr>
      <vt:lpstr>'PODLE ORJ'!Názvy_tisku</vt:lpstr>
      <vt:lpstr>'Příloha B - Pitná voda'!Názvy_tisku</vt:lpstr>
      <vt:lpstr>'Příloha C - kanalizace'!Názvy_tisku</vt:lpstr>
      <vt:lpstr>'PODLE ORJ'!Oblast_tisku</vt:lpstr>
      <vt:lpstr>'Příloha B - Pitná voda'!Oblast_tisku</vt:lpstr>
      <vt:lpstr>'Příloha C - kanalizace'!Oblast_tisku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Korpasová Kateřina</dc:creator>
  <cp:lastModifiedBy>Žáčková Renáta</cp:lastModifiedBy>
  <cp:lastPrinted>2019-01-04T13:43:51Z</cp:lastPrinted>
  <dcterms:created xsi:type="dcterms:W3CDTF">2016-10-27T05:04:04Z</dcterms:created>
  <dcterms:modified xsi:type="dcterms:W3CDTF">2019-01-07T08:39:04Z</dcterms:modified>
</cp:coreProperties>
</file>